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440" windowHeight="12240" firstSheet="1" activeTab="9"/>
  </bookViews>
  <sheets>
    <sheet name="使い方" sheetId="4" r:id="rId1"/>
    <sheet name="Sheet1" sheetId="1" r:id="rId2"/>
    <sheet name="案1(廃案)" sheetId="2" r:id="rId3"/>
    <sheet name="案2(廃案)" sheetId="6" r:id="rId4"/>
    <sheet name="案3(3の最低値)" sheetId="7" r:id="rId5"/>
    <sheet name="案4(3の理想型)" sheetId="10" r:id="rId6"/>
    <sheet name="案5(威力値変更対応版)" sheetId="11" r:id="rId7"/>
    <sheet name="廃案6(別アプローチ)" sheetId="9" r:id="rId8"/>
    <sheet name="案7(Patch3.0正式対応)" sheetId="12" r:id="rId9"/>
    <sheet name="案8(7のサンダラ抜き)" sheetId="13" r:id="rId10"/>
  </sheets>
  <calcPr calcId="125725"/>
</workbook>
</file>

<file path=xl/calcChain.xml><?xml version="1.0" encoding="utf-8"?>
<calcChain xmlns="http://schemas.openxmlformats.org/spreadsheetml/2006/main">
  <c r="Q58" i="13"/>
  <c r="Q59" s="1"/>
  <c r="Q60" s="1"/>
  <c r="Q61" s="1"/>
  <c r="Q62" s="1"/>
  <c r="Q63" s="1"/>
  <c r="Q64" s="1"/>
  <c r="Q65" s="1"/>
  <c r="R59"/>
  <c r="R82"/>
  <c r="R83" s="1"/>
  <c r="R81"/>
  <c r="W159"/>
  <c r="V159"/>
  <c r="F159"/>
  <c r="E159"/>
  <c r="W158"/>
  <c r="V158"/>
  <c r="F158"/>
  <c r="E158"/>
  <c r="W157"/>
  <c r="V157"/>
  <c r="F157"/>
  <c r="E157"/>
  <c r="W156"/>
  <c r="V156"/>
  <c r="F156"/>
  <c r="E156"/>
  <c r="G156" s="1"/>
  <c r="W155"/>
  <c r="V155"/>
  <c r="F155"/>
  <c r="E155"/>
  <c r="W154"/>
  <c r="V154"/>
  <c r="F154"/>
  <c r="E154"/>
  <c r="W153"/>
  <c r="V153"/>
  <c r="F153"/>
  <c r="E153"/>
  <c r="W152"/>
  <c r="V152"/>
  <c r="F152"/>
  <c r="E152"/>
  <c r="W151"/>
  <c r="V151"/>
  <c r="F151"/>
  <c r="E151"/>
  <c r="W150"/>
  <c r="V150"/>
  <c r="F150"/>
  <c r="E150"/>
  <c r="W149"/>
  <c r="V149"/>
  <c r="F149"/>
  <c r="E149"/>
  <c r="W148"/>
  <c r="V148"/>
  <c r="F148"/>
  <c r="E148"/>
  <c r="W147"/>
  <c r="V147"/>
  <c r="F147"/>
  <c r="E147"/>
  <c r="W146"/>
  <c r="V146"/>
  <c r="F146"/>
  <c r="E146"/>
  <c r="W145"/>
  <c r="V145"/>
  <c r="F145"/>
  <c r="E145"/>
  <c r="W144"/>
  <c r="V144"/>
  <c r="F144"/>
  <c r="E144"/>
  <c r="W143"/>
  <c r="V143"/>
  <c r="F143"/>
  <c r="E143"/>
  <c r="W142"/>
  <c r="V142"/>
  <c r="F142"/>
  <c r="E142"/>
  <c r="W141"/>
  <c r="V141"/>
  <c r="F141"/>
  <c r="E141"/>
  <c r="W140"/>
  <c r="V140"/>
  <c r="F140"/>
  <c r="E140"/>
  <c r="G140" s="1"/>
  <c r="W139"/>
  <c r="V139"/>
  <c r="F139"/>
  <c r="E139"/>
  <c r="W138"/>
  <c r="V138"/>
  <c r="F138"/>
  <c r="E138"/>
  <c r="W137"/>
  <c r="V137"/>
  <c r="F137"/>
  <c r="E137"/>
  <c r="W136"/>
  <c r="V136"/>
  <c r="F136"/>
  <c r="E136"/>
  <c r="W135"/>
  <c r="V135"/>
  <c r="F135"/>
  <c r="E135"/>
  <c r="W134"/>
  <c r="V134"/>
  <c r="F134"/>
  <c r="E134"/>
  <c r="W133"/>
  <c r="V133"/>
  <c r="F133"/>
  <c r="E133"/>
  <c r="W132"/>
  <c r="V132"/>
  <c r="F132"/>
  <c r="E132"/>
  <c r="W131"/>
  <c r="V131"/>
  <c r="F131"/>
  <c r="E131"/>
  <c r="W130"/>
  <c r="V130"/>
  <c r="F130"/>
  <c r="E130"/>
  <c r="W129"/>
  <c r="V129"/>
  <c r="F129"/>
  <c r="E129"/>
  <c r="W128"/>
  <c r="V128"/>
  <c r="F128"/>
  <c r="E128"/>
  <c r="W127"/>
  <c r="V127"/>
  <c r="F127"/>
  <c r="E127"/>
  <c r="W126"/>
  <c r="V126"/>
  <c r="F126"/>
  <c r="E126"/>
  <c r="W125"/>
  <c r="V125"/>
  <c r="F125"/>
  <c r="G125" s="1"/>
  <c r="A125" s="1"/>
  <c r="E125"/>
  <c r="W124"/>
  <c r="V124"/>
  <c r="G124"/>
  <c r="A124" s="1"/>
  <c r="F124"/>
  <c r="E124"/>
  <c r="W123"/>
  <c r="V123"/>
  <c r="F123"/>
  <c r="G123" s="1"/>
  <c r="A123" s="1"/>
  <c r="E123"/>
  <c r="W122"/>
  <c r="V122"/>
  <c r="F122"/>
  <c r="E122"/>
  <c r="W121"/>
  <c r="V121"/>
  <c r="F121"/>
  <c r="E121"/>
  <c r="W120"/>
  <c r="V120"/>
  <c r="F120"/>
  <c r="E120"/>
  <c r="W119"/>
  <c r="V119"/>
  <c r="F119"/>
  <c r="E119"/>
  <c r="W118"/>
  <c r="V118"/>
  <c r="F118"/>
  <c r="E118"/>
  <c r="W117"/>
  <c r="V117"/>
  <c r="F117"/>
  <c r="E117"/>
  <c r="W116"/>
  <c r="V116"/>
  <c r="F116"/>
  <c r="E116"/>
  <c r="W115"/>
  <c r="V115"/>
  <c r="F115"/>
  <c r="E115"/>
  <c r="W114"/>
  <c r="V114"/>
  <c r="F114"/>
  <c r="E114"/>
  <c r="W113"/>
  <c r="V113"/>
  <c r="F113"/>
  <c r="E113"/>
  <c r="W112"/>
  <c r="V112"/>
  <c r="F112"/>
  <c r="E112"/>
  <c r="W111"/>
  <c r="V111"/>
  <c r="F111"/>
  <c r="E111"/>
  <c r="W110"/>
  <c r="V110"/>
  <c r="F110"/>
  <c r="E110"/>
  <c r="W109"/>
  <c r="V109"/>
  <c r="F109"/>
  <c r="E109"/>
  <c r="G109" s="1"/>
  <c r="A109" s="1"/>
  <c r="W108"/>
  <c r="V108"/>
  <c r="F108"/>
  <c r="E108"/>
  <c r="G108" s="1"/>
  <c r="A108" s="1"/>
  <c r="W107"/>
  <c r="V107"/>
  <c r="F107"/>
  <c r="E107"/>
  <c r="W106"/>
  <c r="V106"/>
  <c r="F106"/>
  <c r="E106"/>
  <c r="G106" s="1"/>
  <c r="W105"/>
  <c r="V105"/>
  <c r="F105"/>
  <c r="E105"/>
  <c r="W104"/>
  <c r="V104"/>
  <c r="F104"/>
  <c r="E104"/>
  <c r="W103"/>
  <c r="V103"/>
  <c r="F103"/>
  <c r="E103"/>
  <c r="W102"/>
  <c r="V102"/>
  <c r="F102"/>
  <c r="E102"/>
  <c r="W101"/>
  <c r="V101"/>
  <c r="F101"/>
  <c r="E101"/>
  <c r="W100"/>
  <c r="V100"/>
  <c r="F100"/>
  <c r="E100"/>
  <c r="G100" s="1"/>
  <c r="A100" s="1"/>
  <c r="W99"/>
  <c r="V99"/>
  <c r="F99"/>
  <c r="E99"/>
  <c r="W98"/>
  <c r="V98"/>
  <c r="F98"/>
  <c r="E98"/>
  <c r="W97"/>
  <c r="V97"/>
  <c r="F97"/>
  <c r="E97"/>
  <c r="W96"/>
  <c r="V96"/>
  <c r="F96"/>
  <c r="E96"/>
  <c r="W95"/>
  <c r="V95"/>
  <c r="F95"/>
  <c r="E95"/>
  <c r="W94"/>
  <c r="V94"/>
  <c r="F94"/>
  <c r="E94"/>
  <c r="G94" s="1"/>
  <c r="W93"/>
  <c r="V93"/>
  <c r="F93"/>
  <c r="G93" s="1"/>
  <c r="I93" s="1"/>
  <c r="E93"/>
  <c r="W92"/>
  <c r="V92"/>
  <c r="G92"/>
  <c r="F92"/>
  <c r="E92"/>
  <c r="W91"/>
  <c r="V91"/>
  <c r="F91"/>
  <c r="G91" s="1"/>
  <c r="E91"/>
  <c r="W90"/>
  <c r="V90"/>
  <c r="F90"/>
  <c r="E90"/>
  <c r="W89"/>
  <c r="V89"/>
  <c r="F89"/>
  <c r="E89"/>
  <c r="W88"/>
  <c r="V88"/>
  <c r="F88"/>
  <c r="E88"/>
  <c r="W87"/>
  <c r="V87"/>
  <c r="F87"/>
  <c r="E87"/>
  <c r="W86"/>
  <c r="V86"/>
  <c r="F86"/>
  <c r="E86"/>
  <c r="W85"/>
  <c r="V85"/>
  <c r="G85"/>
  <c r="A85" s="1"/>
  <c r="F85"/>
  <c r="E85"/>
  <c r="W84"/>
  <c r="V84"/>
  <c r="F84"/>
  <c r="E84"/>
  <c r="W83"/>
  <c r="V83"/>
  <c r="F83"/>
  <c r="G83" s="1"/>
  <c r="E83"/>
  <c r="W82"/>
  <c r="V82"/>
  <c r="F82"/>
  <c r="E82"/>
  <c r="W81"/>
  <c r="V81"/>
  <c r="F81"/>
  <c r="E81"/>
  <c r="W80"/>
  <c r="V80"/>
  <c r="F80"/>
  <c r="E80"/>
  <c r="G80" s="1"/>
  <c r="A80" s="1"/>
  <c r="W79"/>
  <c r="V79"/>
  <c r="F79"/>
  <c r="E79"/>
  <c r="W78"/>
  <c r="V78"/>
  <c r="F78"/>
  <c r="E78"/>
  <c r="W77"/>
  <c r="V77"/>
  <c r="F77"/>
  <c r="E77"/>
  <c r="W76"/>
  <c r="V76"/>
  <c r="F76"/>
  <c r="E76"/>
  <c r="W75"/>
  <c r="V75"/>
  <c r="F75"/>
  <c r="E75"/>
  <c r="W74"/>
  <c r="V74"/>
  <c r="F74"/>
  <c r="E74"/>
  <c r="W73"/>
  <c r="V73"/>
  <c r="F73"/>
  <c r="E73"/>
  <c r="W72"/>
  <c r="V72"/>
  <c r="F72"/>
  <c r="E72"/>
  <c r="W71"/>
  <c r="V71"/>
  <c r="F71"/>
  <c r="E71"/>
  <c r="W70"/>
  <c r="V70"/>
  <c r="F70"/>
  <c r="E70"/>
  <c r="G70" s="1"/>
  <c r="A70" s="1"/>
  <c r="W69"/>
  <c r="V69"/>
  <c r="F69"/>
  <c r="E69"/>
  <c r="W68"/>
  <c r="V68"/>
  <c r="F68"/>
  <c r="E68"/>
  <c r="W67"/>
  <c r="V67"/>
  <c r="F67"/>
  <c r="E67"/>
  <c r="W66"/>
  <c r="V66"/>
  <c r="F66"/>
  <c r="E66"/>
  <c r="W65"/>
  <c r="V65"/>
  <c r="F65"/>
  <c r="E65"/>
  <c r="W64"/>
  <c r="V64"/>
  <c r="F64"/>
  <c r="E64"/>
  <c r="W63"/>
  <c r="V63"/>
  <c r="F63"/>
  <c r="E63"/>
  <c r="W62"/>
  <c r="V62"/>
  <c r="F62"/>
  <c r="E62"/>
  <c r="W61"/>
  <c r="V61"/>
  <c r="F61"/>
  <c r="E61"/>
  <c r="G61" s="1"/>
  <c r="R61" s="1"/>
  <c r="W60"/>
  <c r="V60"/>
  <c r="F60"/>
  <c r="E60"/>
  <c r="W59"/>
  <c r="V59"/>
  <c r="F59"/>
  <c r="E59"/>
  <c r="W58"/>
  <c r="V58"/>
  <c r="F58"/>
  <c r="E58"/>
  <c r="W57"/>
  <c r="V57"/>
  <c r="F57"/>
  <c r="E57"/>
  <c r="W56"/>
  <c r="V56"/>
  <c r="F56"/>
  <c r="E56"/>
  <c r="W55"/>
  <c r="V55"/>
  <c r="F55"/>
  <c r="E55"/>
  <c r="W54"/>
  <c r="V54"/>
  <c r="F54"/>
  <c r="E54"/>
  <c r="G54" s="1"/>
  <c r="I54" s="1"/>
  <c r="W53"/>
  <c r="V53"/>
  <c r="F53"/>
  <c r="E53"/>
  <c r="G53" s="1"/>
  <c r="A53" s="1"/>
  <c r="W52"/>
  <c r="V52"/>
  <c r="F52"/>
  <c r="G52" s="1"/>
  <c r="A52" s="1"/>
  <c r="E52"/>
  <c r="W51"/>
  <c r="V51"/>
  <c r="F51"/>
  <c r="E51"/>
  <c r="W50"/>
  <c r="V50"/>
  <c r="F50"/>
  <c r="E50"/>
  <c r="W49"/>
  <c r="V49"/>
  <c r="F49"/>
  <c r="E49"/>
  <c r="W48"/>
  <c r="V48"/>
  <c r="F48"/>
  <c r="E48"/>
  <c r="W47"/>
  <c r="V47"/>
  <c r="F47"/>
  <c r="E47"/>
  <c r="W46"/>
  <c r="V46"/>
  <c r="F46"/>
  <c r="E46"/>
  <c r="W45"/>
  <c r="V45"/>
  <c r="F45"/>
  <c r="E45"/>
  <c r="W44"/>
  <c r="V44"/>
  <c r="F44"/>
  <c r="G44" s="1"/>
  <c r="A44" s="1"/>
  <c r="E44"/>
  <c r="W43"/>
  <c r="V43"/>
  <c r="F43"/>
  <c r="G43" s="1"/>
  <c r="E43"/>
  <c r="W42"/>
  <c r="V42"/>
  <c r="F42"/>
  <c r="G42" s="1"/>
  <c r="E42"/>
  <c r="W41"/>
  <c r="V41"/>
  <c r="F41"/>
  <c r="G41" s="1"/>
  <c r="E41"/>
  <c r="W40"/>
  <c r="V40"/>
  <c r="F40"/>
  <c r="G40" s="1"/>
  <c r="E40"/>
  <c r="W39"/>
  <c r="V39"/>
  <c r="F39"/>
  <c r="E39"/>
  <c r="W38"/>
  <c r="V38"/>
  <c r="F38"/>
  <c r="E38"/>
  <c r="W37"/>
  <c r="V37"/>
  <c r="F37"/>
  <c r="E37"/>
  <c r="W36"/>
  <c r="V36"/>
  <c r="F36"/>
  <c r="E36"/>
  <c r="W35"/>
  <c r="V35"/>
  <c r="F35"/>
  <c r="E35"/>
  <c r="G35" s="1"/>
  <c r="N35" s="1"/>
  <c r="W34"/>
  <c r="V34"/>
  <c r="F34"/>
  <c r="E34"/>
  <c r="W33"/>
  <c r="V33"/>
  <c r="F33"/>
  <c r="E33"/>
  <c r="G33" s="1"/>
  <c r="W32"/>
  <c r="V32"/>
  <c r="F32"/>
  <c r="E32"/>
  <c r="W31"/>
  <c r="V31"/>
  <c r="F31"/>
  <c r="E31"/>
  <c r="W30"/>
  <c r="V30"/>
  <c r="F30"/>
  <c r="E30"/>
  <c r="W29"/>
  <c r="V29"/>
  <c r="F29"/>
  <c r="E29"/>
  <c r="G29" s="1"/>
  <c r="W28"/>
  <c r="V28"/>
  <c r="F28"/>
  <c r="E28"/>
  <c r="W27"/>
  <c r="V27"/>
  <c r="F27"/>
  <c r="E27"/>
  <c r="W26"/>
  <c r="V26"/>
  <c r="F26"/>
  <c r="E26"/>
  <c r="W25"/>
  <c r="V25"/>
  <c r="F25"/>
  <c r="E25"/>
  <c r="W24"/>
  <c r="V24"/>
  <c r="F24"/>
  <c r="E24"/>
  <c r="W23"/>
  <c r="V23"/>
  <c r="F23"/>
  <c r="E23"/>
  <c r="W22"/>
  <c r="V22"/>
  <c r="F22"/>
  <c r="E22"/>
  <c r="W21"/>
  <c r="V21"/>
  <c r="F21"/>
  <c r="E21"/>
  <c r="W20"/>
  <c r="V20"/>
  <c r="F20"/>
  <c r="E20"/>
  <c r="G20" s="1"/>
  <c r="A20" s="1"/>
  <c r="W19"/>
  <c r="V19"/>
  <c r="F19"/>
  <c r="E19"/>
  <c r="W18"/>
  <c r="V18"/>
  <c r="F18"/>
  <c r="E18"/>
  <c r="W17"/>
  <c r="V17"/>
  <c r="F17"/>
  <c r="E17"/>
  <c r="W16"/>
  <c r="V16"/>
  <c r="F16"/>
  <c r="G16" s="1"/>
  <c r="E16"/>
  <c r="W15"/>
  <c r="V15"/>
  <c r="F15"/>
  <c r="E15"/>
  <c r="W14"/>
  <c r="V14"/>
  <c r="F14"/>
  <c r="E14"/>
  <c r="W13"/>
  <c r="V13"/>
  <c r="F13"/>
  <c r="E13"/>
  <c r="W12"/>
  <c r="V12"/>
  <c r="F12"/>
  <c r="E12"/>
  <c r="W11"/>
  <c r="V11"/>
  <c r="F11"/>
  <c r="E11"/>
  <c r="W10"/>
  <c r="V10"/>
  <c r="F10"/>
  <c r="E10"/>
  <c r="W9"/>
  <c r="V9"/>
  <c r="F9"/>
  <c r="E9"/>
  <c r="W8"/>
  <c r="V8"/>
  <c r="F8"/>
  <c r="E8"/>
  <c r="W7"/>
  <c r="V7"/>
  <c r="F7"/>
  <c r="G7" s="1"/>
  <c r="E7"/>
  <c r="W6"/>
  <c r="V6"/>
  <c r="F6"/>
  <c r="E6"/>
  <c r="W5"/>
  <c r="V5"/>
  <c r="F5"/>
  <c r="G5" s="1"/>
  <c r="E5"/>
  <c r="W4"/>
  <c r="V4"/>
  <c r="U1"/>
  <c r="P1"/>
  <c r="J1"/>
  <c r="F1"/>
  <c r="G127" s="1"/>
  <c r="Z127" s="1"/>
  <c r="E1"/>
  <c r="G138" s="1"/>
  <c r="R138" s="1"/>
  <c r="U171" i="12"/>
  <c r="T171"/>
  <c r="X3"/>
  <c r="AA162"/>
  <c r="AA163"/>
  <c r="AA164"/>
  <c r="AA165"/>
  <c r="AA166"/>
  <c r="AA167"/>
  <c r="AA168"/>
  <c r="AA169"/>
  <c r="AA170"/>
  <c r="T88"/>
  <c r="U88"/>
  <c r="W171"/>
  <c r="V171"/>
  <c r="F171"/>
  <c r="E171"/>
  <c r="G171" s="1"/>
  <c r="W170"/>
  <c r="V170"/>
  <c r="F170"/>
  <c r="E170"/>
  <c r="G170" s="1"/>
  <c r="A170" s="1"/>
  <c r="W169"/>
  <c r="V169"/>
  <c r="G169"/>
  <c r="A169" s="1"/>
  <c r="F169"/>
  <c r="E169"/>
  <c r="W168"/>
  <c r="V168"/>
  <c r="F168"/>
  <c r="E168"/>
  <c r="G168" s="1"/>
  <c r="W167"/>
  <c r="V167"/>
  <c r="G167"/>
  <c r="F167"/>
  <c r="E167"/>
  <c r="A167"/>
  <c r="W166"/>
  <c r="V166"/>
  <c r="F166"/>
  <c r="E166"/>
  <c r="G166" s="1"/>
  <c r="A166" s="1"/>
  <c r="W165"/>
  <c r="V165"/>
  <c r="G165"/>
  <c r="I165" s="1"/>
  <c r="F165"/>
  <c r="E165"/>
  <c r="A165"/>
  <c r="W164"/>
  <c r="V164"/>
  <c r="G164"/>
  <c r="K164" s="1"/>
  <c r="F164"/>
  <c r="E164"/>
  <c r="W163"/>
  <c r="V163"/>
  <c r="F163"/>
  <c r="E163"/>
  <c r="G163" s="1"/>
  <c r="W162"/>
  <c r="V162"/>
  <c r="F162"/>
  <c r="E162"/>
  <c r="G162" s="1"/>
  <c r="W161"/>
  <c r="V161"/>
  <c r="G161"/>
  <c r="F161"/>
  <c r="E161"/>
  <c r="A161"/>
  <c r="W160"/>
  <c r="V160"/>
  <c r="F160"/>
  <c r="E160"/>
  <c r="G160" s="1"/>
  <c r="A160" s="1"/>
  <c r="W159"/>
  <c r="V159"/>
  <c r="G159"/>
  <c r="I159" s="1"/>
  <c r="I160" s="1"/>
  <c r="F159"/>
  <c r="E159"/>
  <c r="A159"/>
  <c r="W158"/>
  <c r="V158"/>
  <c r="G158"/>
  <c r="A158" s="1"/>
  <c r="F158"/>
  <c r="E158"/>
  <c r="W157"/>
  <c r="V157"/>
  <c r="F157"/>
  <c r="E157"/>
  <c r="G157" s="1"/>
  <c r="A157" s="1"/>
  <c r="W156"/>
  <c r="V156"/>
  <c r="G156"/>
  <c r="I156" s="1"/>
  <c r="F156"/>
  <c r="E156"/>
  <c r="W155"/>
  <c r="V155"/>
  <c r="F155"/>
  <c r="E155"/>
  <c r="G155" s="1"/>
  <c r="W154"/>
  <c r="V154"/>
  <c r="F154"/>
  <c r="E154"/>
  <c r="G154" s="1"/>
  <c r="Q154" s="1"/>
  <c r="Q155" s="1"/>
  <c r="Q156" s="1"/>
  <c r="Q157" s="1"/>
  <c r="Q158" s="1"/>
  <c r="Q159" s="1"/>
  <c r="Q160" s="1"/>
  <c r="Q161" s="1"/>
  <c r="W153"/>
  <c r="V153"/>
  <c r="G153"/>
  <c r="I153" s="1"/>
  <c r="I154" s="1"/>
  <c r="F153"/>
  <c r="E153"/>
  <c r="W152"/>
  <c r="V152"/>
  <c r="F152"/>
  <c r="E152"/>
  <c r="G152" s="1"/>
  <c r="W151"/>
  <c r="V151"/>
  <c r="F151"/>
  <c r="E151"/>
  <c r="G151" s="1"/>
  <c r="W150"/>
  <c r="V150"/>
  <c r="G150"/>
  <c r="F150"/>
  <c r="E150"/>
  <c r="W149"/>
  <c r="V149"/>
  <c r="F149"/>
  <c r="E149"/>
  <c r="G149" s="1"/>
  <c r="W148"/>
  <c r="V148"/>
  <c r="R148"/>
  <c r="G148"/>
  <c r="F148"/>
  <c r="E148"/>
  <c r="W147"/>
  <c r="V147"/>
  <c r="G147"/>
  <c r="N147" s="1"/>
  <c r="F147"/>
  <c r="E147"/>
  <c r="W146"/>
  <c r="V146"/>
  <c r="G146"/>
  <c r="I146" s="1"/>
  <c r="I147" s="1"/>
  <c r="F146"/>
  <c r="E146"/>
  <c r="W145"/>
  <c r="V145"/>
  <c r="F145"/>
  <c r="E145"/>
  <c r="G145" s="1"/>
  <c r="A145" s="1"/>
  <c r="W144"/>
  <c r="V144"/>
  <c r="I144"/>
  <c r="G144"/>
  <c r="F144"/>
  <c r="E144"/>
  <c r="A144"/>
  <c r="W143"/>
  <c r="V143"/>
  <c r="G143"/>
  <c r="A143" s="1"/>
  <c r="F143"/>
  <c r="E143"/>
  <c r="W142"/>
  <c r="V142"/>
  <c r="F142"/>
  <c r="E142"/>
  <c r="G142" s="1"/>
  <c r="A142" s="1"/>
  <c r="W141"/>
  <c r="V141"/>
  <c r="G141"/>
  <c r="I141" s="1"/>
  <c r="F141"/>
  <c r="E141"/>
  <c r="W140"/>
  <c r="V140"/>
  <c r="G140"/>
  <c r="A140" s="1"/>
  <c r="F140"/>
  <c r="E140"/>
  <c r="W139"/>
  <c r="V139"/>
  <c r="F139"/>
  <c r="E139"/>
  <c r="G139" s="1"/>
  <c r="A139" s="1"/>
  <c r="W138"/>
  <c r="V138"/>
  <c r="I138"/>
  <c r="G138"/>
  <c r="A138" s="1"/>
  <c r="F138"/>
  <c r="E138"/>
  <c r="W137"/>
  <c r="V137"/>
  <c r="G137"/>
  <c r="Z137" s="1"/>
  <c r="F137"/>
  <c r="E137"/>
  <c r="W136"/>
  <c r="V136"/>
  <c r="G136"/>
  <c r="A136" s="1"/>
  <c r="F136"/>
  <c r="E136"/>
  <c r="W135"/>
  <c r="V135"/>
  <c r="G135"/>
  <c r="I135" s="1"/>
  <c r="I136" s="1"/>
  <c r="F135"/>
  <c r="E135"/>
  <c r="W134"/>
  <c r="V134"/>
  <c r="G134"/>
  <c r="A134" s="1"/>
  <c r="F134"/>
  <c r="E134"/>
  <c r="W133"/>
  <c r="V133"/>
  <c r="F133"/>
  <c r="G133" s="1"/>
  <c r="A133" s="1"/>
  <c r="E133"/>
  <c r="W132"/>
  <c r="V132"/>
  <c r="G132"/>
  <c r="I132" s="1"/>
  <c r="I133" s="1"/>
  <c r="F132"/>
  <c r="E132"/>
  <c r="W131"/>
  <c r="V131"/>
  <c r="G131"/>
  <c r="A131" s="1"/>
  <c r="F131"/>
  <c r="E131"/>
  <c r="W130"/>
  <c r="V130"/>
  <c r="F130"/>
  <c r="G130" s="1"/>
  <c r="A130" s="1"/>
  <c r="E130"/>
  <c r="W129"/>
  <c r="V129"/>
  <c r="G129"/>
  <c r="I129" s="1"/>
  <c r="I130" s="1"/>
  <c r="F129"/>
  <c r="E129"/>
  <c r="W128"/>
  <c r="V128"/>
  <c r="G128"/>
  <c r="A128" s="1"/>
  <c r="F128"/>
  <c r="E128"/>
  <c r="W127"/>
  <c r="V127"/>
  <c r="G127"/>
  <c r="Q127" s="1"/>
  <c r="Q128" s="1"/>
  <c r="Q129" s="1"/>
  <c r="Q130" s="1"/>
  <c r="Q131" s="1"/>
  <c r="Q132" s="1"/>
  <c r="Q133" s="1"/>
  <c r="Q134" s="1"/>
  <c r="F127"/>
  <c r="E127"/>
  <c r="W126"/>
  <c r="V126"/>
  <c r="F126"/>
  <c r="G126" s="1"/>
  <c r="I126" s="1"/>
  <c r="I127" s="1"/>
  <c r="E126"/>
  <c r="W125"/>
  <c r="V125"/>
  <c r="F125"/>
  <c r="G125" s="1"/>
  <c r="E125"/>
  <c r="W124"/>
  <c r="V124"/>
  <c r="G124"/>
  <c r="F124"/>
  <c r="E124"/>
  <c r="W123"/>
  <c r="V123"/>
  <c r="F123"/>
  <c r="E123"/>
  <c r="G123" s="1"/>
  <c r="W122"/>
  <c r="V122"/>
  <c r="I122"/>
  <c r="G122"/>
  <c r="F122"/>
  <c r="E122"/>
  <c r="W121"/>
  <c r="V121"/>
  <c r="F121"/>
  <c r="E121"/>
  <c r="G121" s="1"/>
  <c r="R121" s="1"/>
  <c r="R122" s="1"/>
  <c r="W120"/>
  <c r="V120"/>
  <c r="F120"/>
  <c r="E120"/>
  <c r="G120" s="1"/>
  <c r="W119"/>
  <c r="V119"/>
  <c r="F119"/>
  <c r="E119"/>
  <c r="G119" s="1"/>
  <c r="W118"/>
  <c r="V118"/>
  <c r="G118"/>
  <c r="A118" s="1"/>
  <c r="F118"/>
  <c r="E118"/>
  <c r="W117"/>
  <c r="V117"/>
  <c r="G117"/>
  <c r="I117" s="1"/>
  <c r="F117"/>
  <c r="E117"/>
  <c r="W116"/>
  <c r="V116"/>
  <c r="G116"/>
  <c r="A116" s="1"/>
  <c r="F116"/>
  <c r="E116"/>
  <c r="W115"/>
  <c r="V115"/>
  <c r="F115"/>
  <c r="E115"/>
  <c r="G115" s="1"/>
  <c r="A115" s="1"/>
  <c r="W114"/>
  <c r="V114"/>
  <c r="G114"/>
  <c r="I114" s="1"/>
  <c r="I115" s="1"/>
  <c r="F114"/>
  <c r="E114"/>
  <c r="W113"/>
  <c r="V113"/>
  <c r="G113"/>
  <c r="F113"/>
  <c r="E113"/>
  <c r="A113"/>
  <c r="W112"/>
  <c r="V112"/>
  <c r="F112"/>
  <c r="E112"/>
  <c r="G112" s="1"/>
  <c r="A112" s="1"/>
  <c r="W111"/>
  <c r="V111"/>
  <c r="I111"/>
  <c r="G111"/>
  <c r="F111"/>
  <c r="E111"/>
  <c r="A111"/>
  <c r="W110"/>
  <c r="V110"/>
  <c r="F110"/>
  <c r="E110"/>
  <c r="G110" s="1"/>
  <c r="W109"/>
  <c r="V109"/>
  <c r="F109"/>
  <c r="E109"/>
  <c r="G109" s="1"/>
  <c r="W108"/>
  <c r="V108"/>
  <c r="G108"/>
  <c r="I108" s="1"/>
  <c r="I109" s="1"/>
  <c r="F108"/>
  <c r="E108"/>
  <c r="W107"/>
  <c r="V107"/>
  <c r="G107"/>
  <c r="F107"/>
  <c r="E107"/>
  <c r="A107"/>
  <c r="W106"/>
  <c r="V106"/>
  <c r="F106"/>
  <c r="E106"/>
  <c r="G106" s="1"/>
  <c r="W105"/>
  <c r="V105"/>
  <c r="I105"/>
  <c r="G105"/>
  <c r="F105"/>
  <c r="E105"/>
  <c r="A105"/>
  <c r="W104"/>
  <c r="V104"/>
  <c r="G104"/>
  <c r="A104" s="1"/>
  <c r="F104"/>
  <c r="E104"/>
  <c r="W103"/>
  <c r="V103"/>
  <c r="F103"/>
  <c r="E103"/>
  <c r="G103" s="1"/>
  <c r="A103" s="1"/>
  <c r="W102"/>
  <c r="V102"/>
  <c r="F102"/>
  <c r="E102"/>
  <c r="G102" s="1"/>
  <c r="W101"/>
  <c r="V101"/>
  <c r="G101"/>
  <c r="Z101" s="1"/>
  <c r="F101"/>
  <c r="E101"/>
  <c r="W100"/>
  <c r="V100"/>
  <c r="F100"/>
  <c r="G100" s="1"/>
  <c r="Q100" s="1"/>
  <c r="E100"/>
  <c r="W99"/>
  <c r="V99"/>
  <c r="G99"/>
  <c r="I99" s="1"/>
  <c r="I100" s="1"/>
  <c r="F99"/>
  <c r="E99"/>
  <c r="W98"/>
  <c r="V98"/>
  <c r="G98"/>
  <c r="F98"/>
  <c r="E98"/>
  <c r="W97"/>
  <c r="V97"/>
  <c r="I97"/>
  <c r="F97"/>
  <c r="G97" s="1"/>
  <c r="E97"/>
  <c r="W96"/>
  <c r="V96"/>
  <c r="I96"/>
  <c r="G96"/>
  <c r="F96"/>
  <c r="E96"/>
  <c r="W95"/>
  <c r="V95"/>
  <c r="G95"/>
  <c r="F95"/>
  <c r="E95"/>
  <c r="W94"/>
  <c r="V94"/>
  <c r="F94"/>
  <c r="G94" s="1"/>
  <c r="E94"/>
  <c r="W93"/>
  <c r="V93"/>
  <c r="G93"/>
  <c r="I93" s="1"/>
  <c r="I94" s="1"/>
  <c r="F93"/>
  <c r="E93"/>
  <c r="W92"/>
  <c r="V92"/>
  <c r="G92"/>
  <c r="R92" s="1"/>
  <c r="R93" s="1"/>
  <c r="F92"/>
  <c r="E92"/>
  <c r="W91"/>
  <c r="V91"/>
  <c r="G91"/>
  <c r="A91" s="1"/>
  <c r="F91"/>
  <c r="E91"/>
  <c r="W90"/>
  <c r="V90"/>
  <c r="G90"/>
  <c r="Z90" s="1"/>
  <c r="F90"/>
  <c r="E90"/>
  <c r="W89"/>
  <c r="V89"/>
  <c r="F89"/>
  <c r="G89" s="1"/>
  <c r="E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V61"/>
  <c r="W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U1"/>
  <c r="P1"/>
  <c r="J1"/>
  <c r="E1"/>
  <c r="L19" i="1"/>
  <c r="W161" i="1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Y82" s="1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X46" s="1"/>
  <c r="Z94" i="13" l="1"/>
  <c r="K94"/>
  <c r="A94"/>
  <c r="I106"/>
  <c r="A106"/>
  <c r="A42"/>
  <c r="K42"/>
  <c r="Z43" s="1"/>
  <c r="I29"/>
  <c r="A29"/>
  <c r="Q33"/>
  <c r="A33"/>
  <c r="A156"/>
  <c r="I156"/>
  <c r="G27"/>
  <c r="A27" s="1"/>
  <c r="G32"/>
  <c r="I32" s="1"/>
  <c r="G37"/>
  <c r="I37" s="1"/>
  <c r="G67"/>
  <c r="G74"/>
  <c r="G99"/>
  <c r="A99" s="1"/>
  <c r="G105"/>
  <c r="A105" s="1"/>
  <c r="G148"/>
  <c r="G151"/>
  <c r="G154"/>
  <c r="A154" s="1"/>
  <c r="G21"/>
  <c r="I21" s="1"/>
  <c r="G34"/>
  <c r="G45"/>
  <c r="A45" s="1"/>
  <c r="G46"/>
  <c r="G55"/>
  <c r="A55" s="1"/>
  <c r="G60"/>
  <c r="A60" s="1"/>
  <c r="G73"/>
  <c r="A73" s="1"/>
  <c r="G77"/>
  <c r="A77" s="1"/>
  <c r="G81"/>
  <c r="A81" s="1"/>
  <c r="O85"/>
  <c r="O86" s="1"/>
  <c r="O87" s="1"/>
  <c r="O88" s="1"/>
  <c r="G86"/>
  <c r="R86" s="1"/>
  <c r="R87" s="1"/>
  <c r="G87"/>
  <c r="I87" s="1"/>
  <c r="G88"/>
  <c r="G89"/>
  <c r="G97"/>
  <c r="A97" s="1"/>
  <c r="G104"/>
  <c r="A104" s="1"/>
  <c r="G112"/>
  <c r="G117"/>
  <c r="G118"/>
  <c r="I118" s="1"/>
  <c r="G126"/>
  <c r="G130"/>
  <c r="A130" s="1"/>
  <c r="G131"/>
  <c r="G132"/>
  <c r="A132" s="1"/>
  <c r="G133"/>
  <c r="A133" s="1"/>
  <c r="G134"/>
  <c r="G135"/>
  <c r="A135" s="1"/>
  <c r="G17"/>
  <c r="G63"/>
  <c r="G69"/>
  <c r="A69" s="1"/>
  <c r="G75"/>
  <c r="K75" s="1"/>
  <c r="G78"/>
  <c r="A78" s="1"/>
  <c r="G98"/>
  <c r="G101"/>
  <c r="A101" s="1"/>
  <c r="G113"/>
  <c r="R113" s="1"/>
  <c r="G115"/>
  <c r="G139"/>
  <c r="I139" s="1"/>
  <c r="I140" s="1"/>
  <c r="G149"/>
  <c r="A149" s="1"/>
  <c r="G152"/>
  <c r="G18"/>
  <c r="G19"/>
  <c r="A19" s="1"/>
  <c r="G22"/>
  <c r="A22" s="1"/>
  <c r="G28"/>
  <c r="A28" s="1"/>
  <c r="G38"/>
  <c r="G39"/>
  <c r="G56"/>
  <c r="A56" s="1"/>
  <c r="G64"/>
  <c r="G65"/>
  <c r="G66"/>
  <c r="G76"/>
  <c r="G84"/>
  <c r="G95"/>
  <c r="I95" s="1"/>
  <c r="G96"/>
  <c r="A96" s="1"/>
  <c r="G102"/>
  <c r="G103"/>
  <c r="G107"/>
  <c r="A107" s="1"/>
  <c r="G136"/>
  <c r="Z136" s="1"/>
  <c r="G141"/>
  <c r="G159"/>
  <c r="G59"/>
  <c r="I59" s="1"/>
  <c r="I60" s="1"/>
  <c r="G68"/>
  <c r="G79"/>
  <c r="G114"/>
  <c r="I114" s="1"/>
  <c r="I115" s="1"/>
  <c r="G116"/>
  <c r="G150"/>
  <c r="A150" s="1"/>
  <c r="G153"/>
  <c r="G155"/>
  <c r="A155" s="1"/>
  <c r="G23"/>
  <c r="A23" s="1"/>
  <c r="G24"/>
  <c r="G25"/>
  <c r="G26"/>
  <c r="G30"/>
  <c r="A30" s="1"/>
  <c r="G31"/>
  <c r="A31" s="1"/>
  <c r="G36"/>
  <c r="R36" s="1"/>
  <c r="R37" s="1"/>
  <c r="R38" s="1"/>
  <c r="R39" s="1"/>
  <c r="G47"/>
  <c r="A47" s="1"/>
  <c r="G48"/>
  <c r="A48" s="1"/>
  <c r="G49"/>
  <c r="G50"/>
  <c r="G51"/>
  <c r="G57"/>
  <c r="G58"/>
  <c r="A58" s="1"/>
  <c r="G62"/>
  <c r="G71"/>
  <c r="G72"/>
  <c r="A72" s="1"/>
  <c r="G82"/>
  <c r="G90"/>
  <c r="I90" s="1"/>
  <c r="I91" s="1"/>
  <c r="G110"/>
  <c r="G111"/>
  <c r="I111" s="1"/>
  <c r="I112" s="1"/>
  <c r="G119"/>
  <c r="Z119" s="1"/>
  <c r="G120"/>
  <c r="G121"/>
  <c r="A121" s="1"/>
  <c r="G122"/>
  <c r="A122" s="1"/>
  <c r="G128"/>
  <c r="G129"/>
  <c r="A129" s="1"/>
  <c r="G137"/>
  <c r="G142"/>
  <c r="G143"/>
  <c r="G144"/>
  <c r="G145"/>
  <c r="G146"/>
  <c r="A146" s="1"/>
  <c r="G147"/>
  <c r="A147" s="1"/>
  <c r="G157"/>
  <c r="A157" s="1"/>
  <c r="G158"/>
  <c r="A158" s="1"/>
  <c r="L84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A84"/>
  <c r="I84"/>
  <c r="I85" s="1"/>
  <c r="Z84"/>
  <c r="K84"/>
  <c r="T117"/>
  <c r="T118" s="1"/>
  <c r="T119" s="1"/>
  <c r="T120" s="1"/>
  <c r="T121" s="1"/>
  <c r="U117"/>
  <c r="U118" s="1"/>
  <c r="U119" s="1"/>
  <c r="U120" s="1"/>
  <c r="U121" s="1"/>
  <c r="A126"/>
  <c r="I126"/>
  <c r="A131"/>
  <c r="I131"/>
  <c r="I132" s="1"/>
  <c r="A134"/>
  <c r="I134"/>
  <c r="R139"/>
  <c r="R140" s="1"/>
  <c r="R141" s="1"/>
  <c r="A98"/>
  <c r="I98"/>
  <c r="I99" s="1"/>
  <c r="A151"/>
  <c r="I151"/>
  <c r="K152"/>
  <c r="Z152"/>
  <c r="A152"/>
  <c r="A153"/>
  <c r="I153"/>
  <c r="I154" s="1"/>
  <c r="A83"/>
  <c r="N85"/>
  <c r="K95"/>
  <c r="Z95"/>
  <c r="K102"/>
  <c r="Z102"/>
  <c r="A102"/>
  <c r="I103"/>
  <c r="I104" s="1"/>
  <c r="A103"/>
  <c r="T159"/>
  <c r="I159"/>
  <c r="U159"/>
  <c r="A159"/>
  <c r="I157"/>
  <c r="Q110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A110"/>
  <c r="K111"/>
  <c r="Z111"/>
  <c r="L11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A111"/>
  <c r="I120"/>
  <c r="I121" s="1"/>
  <c r="A120"/>
  <c r="I128"/>
  <c r="I129" s="1"/>
  <c r="A128"/>
  <c r="A137"/>
  <c r="N137"/>
  <c r="Q143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I143"/>
  <c r="K144"/>
  <c r="Z144"/>
  <c r="A144"/>
  <c r="A145"/>
  <c r="I145"/>
  <c r="I146" s="1"/>
  <c r="A95"/>
  <c r="I101"/>
  <c r="I109"/>
  <c r="A119"/>
  <c r="I123"/>
  <c r="I124" s="1"/>
  <c r="A127"/>
  <c r="I136"/>
  <c r="I137" s="1"/>
  <c r="K119"/>
  <c r="K127"/>
  <c r="A136"/>
  <c r="L136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K136"/>
  <c r="Z76"/>
  <c r="K76"/>
  <c r="A79"/>
  <c r="I79"/>
  <c r="I80" s="1"/>
  <c r="I76"/>
  <c r="I77" s="1"/>
  <c r="A76"/>
  <c r="T82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I82"/>
  <c r="U82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A82"/>
  <c r="A75"/>
  <c r="Z75"/>
  <c r="I66"/>
  <c r="Q66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I71"/>
  <c r="I72" s="1"/>
  <c r="A71"/>
  <c r="Z67"/>
  <c r="A67"/>
  <c r="K67"/>
  <c r="I68"/>
  <c r="I69" s="1"/>
  <c r="A68"/>
  <c r="A46"/>
  <c r="I46"/>
  <c r="I47" s="1"/>
  <c r="R4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I41"/>
  <c r="T41"/>
  <c r="T42" s="1"/>
  <c r="T43" s="1"/>
  <c r="T44" s="1"/>
  <c r="T45" s="1"/>
  <c r="T46" s="1"/>
  <c r="T47" s="1"/>
  <c r="T48" s="1"/>
  <c r="T49" s="1"/>
  <c r="T50" s="1"/>
  <c r="T51" s="1"/>
  <c r="T52" s="1"/>
  <c r="A43"/>
  <c r="I43"/>
  <c r="I44" s="1"/>
  <c r="I49"/>
  <c r="A49"/>
  <c r="A50"/>
  <c r="K50"/>
  <c r="Z50"/>
  <c r="I51"/>
  <c r="I52" s="1"/>
  <c r="A51"/>
  <c r="A57"/>
  <c r="I57"/>
  <c r="I62"/>
  <c r="I63" s="1"/>
  <c r="R62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I55"/>
  <c r="N60"/>
  <c r="Z42"/>
  <c r="K43"/>
  <c r="A54"/>
  <c r="A59"/>
  <c r="L59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K59"/>
  <c r="Z59"/>
  <c r="T40"/>
  <c r="U40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N36"/>
  <c r="A36"/>
  <c r="I30"/>
  <c r="A24"/>
  <c r="I24"/>
  <c r="K25"/>
  <c r="Z25"/>
  <c r="A25"/>
  <c r="A26"/>
  <c r="I26"/>
  <c r="I27" s="1"/>
  <c r="R40"/>
  <c r="I34"/>
  <c r="I35" s="1"/>
  <c r="Z34"/>
  <c r="K34"/>
  <c r="L34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A34"/>
  <c r="A32"/>
  <c r="A35"/>
  <c r="I16"/>
  <c r="Z17"/>
  <c r="K17"/>
  <c r="A17"/>
  <c r="A21"/>
  <c r="G8"/>
  <c r="A8" s="1"/>
  <c r="G9"/>
  <c r="R9" s="1"/>
  <c r="G11"/>
  <c r="G12"/>
  <c r="X3"/>
  <c r="X1" s="1"/>
  <c r="G10"/>
  <c r="I10" s="1"/>
  <c r="I11" s="1"/>
  <c r="I7"/>
  <c r="Z7"/>
  <c r="K7"/>
  <c r="L7"/>
  <c r="A7"/>
  <c r="T5"/>
  <c r="C5"/>
  <c r="U5"/>
  <c r="Z5"/>
  <c r="A5"/>
  <c r="B5" s="1"/>
  <c r="G6"/>
  <c r="G13"/>
  <c r="I13" s="1"/>
  <c r="G14"/>
  <c r="G15"/>
  <c r="Q101" i="12"/>
  <c r="Q102" s="1"/>
  <c r="Q103" s="1"/>
  <c r="Q104" s="1"/>
  <c r="Q105" s="1"/>
  <c r="Q106" s="1"/>
  <c r="Q107" s="1"/>
  <c r="A101"/>
  <c r="K101"/>
  <c r="Z102" s="1"/>
  <c r="A89"/>
  <c r="T89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U89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R94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A168"/>
  <c r="I168"/>
  <c r="I169" s="1"/>
  <c r="I90"/>
  <c r="I91" s="1"/>
  <c r="O9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I142"/>
  <c r="A102"/>
  <c r="I102"/>
  <c r="I103" s="1"/>
  <c r="A106"/>
  <c r="I106"/>
  <c r="L119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A119"/>
  <c r="I119"/>
  <c r="I120" s="1"/>
  <c r="Z119"/>
  <c r="K119"/>
  <c r="A120"/>
  <c r="N120"/>
  <c r="T125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U125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R149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I149"/>
  <c r="I150" s="1"/>
  <c r="A162"/>
  <c r="I162"/>
  <c r="I163" s="1"/>
  <c r="A163"/>
  <c r="Q163"/>
  <c r="Q164" s="1"/>
  <c r="Q165" s="1"/>
  <c r="Q166" s="1"/>
  <c r="Q167" s="1"/>
  <c r="Q168" s="1"/>
  <c r="Q169" s="1"/>
  <c r="Q170" s="1"/>
  <c r="N91"/>
  <c r="R123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I157"/>
  <c r="I166"/>
  <c r="A109"/>
  <c r="Q109"/>
  <c r="Q110" s="1"/>
  <c r="Q111" s="1"/>
  <c r="Q112" s="1"/>
  <c r="Q113" s="1"/>
  <c r="Q114" s="1"/>
  <c r="Q115" s="1"/>
  <c r="Q116" s="1"/>
  <c r="Z110"/>
  <c r="A110"/>
  <c r="K110"/>
  <c r="N148"/>
  <c r="A148"/>
  <c r="A90"/>
  <c r="L90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I112"/>
  <c r="I123"/>
  <c r="I139"/>
  <c r="K155"/>
  <c r="Z155"/>
  <c r="A155"/>
  <c r="Z165"/>
  <c r="K165"/>
  <c r="A171"/>
  <c r="I171"/>
  <c r="K90"/>
  <c r="A108"/>
  <c r="A114"/>
  <c r="A117"/>
  <c r="K128"/>
  <c r="A129"/>
  <c r="A132"/>
  <c r="A135"/>
  <c r="A137"/>
  <c r="A141"/>
  <c r="A146"/>
  <c r="L146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A147"/>
  <c r="A156"/>
  <c r="A164"/>
  <c r="Z164"/>
  <c r="Z128"/>
  <c r="Q136"/>
  <c r="Q137" s="1"/>
  <c r="Q138" s="1"/>
  <c r="Q139" s="1"/>
  <c r="Q140" s="1"/>
  <c r="Q141" s="1"/>
  <c r="Q142" s="1"/>
  <c r="Q143" s="1"/>
  <c r="K146"/>
  <c r="Z146"/>
  <c r="K137"/>
  <c r="X4"/>
  <c r="Y5" s="1"/>
  <c r="X1"/>
  <c r="Y4"/>
  <c r="X82" i="11"/>
  <c r="Y83" s="1"/>
  <c r="X83"/>
  <c r="Y47"/>
  <c r="X47"/>
  <c r="Y46"/>
  <c r="W165" i="10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X98"/>
  <c r="W98"/>
  <c r="V98"/>
  <c r="W97"/>
  <c r="V97"/>
  <c r="W96"/>
  <c r="V96"/>
  <c r="W95"/>
  <c r="V95"/>
  <c r="W94"/>
  <c r="V94"/>
  <c r="W93"/>
  <c r="V93"/>
  <c r="X92"/>
  <c r="W92"/>
  <c r="V92"/>
  <c r="Y92" s="1"/>
  <c r="V20" i="11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X6"/>
  <c r="X7" s="1"/>
  <c r="X8" s="1"/>
  <c r="X9" s="1"/>
  <c r="X10" s="1"/>
  <c r="X11" s="1"/>
  <c r="X12" s="1"/>
  <c r="X13" s="1"/>
  <c r="X14" s="1"/>
  <c r="X15" s="1"/>
  <c r="X16" s="1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U1"/>
  <c r="P1"/>
  <c r="X3" s="1"/>
  <c r="J1"/>
  <c r="E1"/>
  <c r="W21" i="10"/>
  <c r="V21"/>
  <c r="X21" s="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W20"/>
  <c r="V20"/>
  <c r="L9" i="1"/>
  <c r="M9"/>
  <c r="F63"/>
  <c r="F62"/>
  <c r="W28" i="9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 i="10"/>
  <c r="W86"/>
  <c r="W87"/>
  <c r="W88"/>
  <c r="W89"/>
  <c r="W90"/>
  <c r="W91"/>
  <c r="W19"/>
  <c r="W18"/>
  <c r="W17"/>
  <c r="W16"/>
  <c r="W15"/>
  <c r="W14"/>
  <c r="W13"/>
  <c r="W12"/>
  <c r="W11"/>
  <c r="W10"/>
  <c r="W9"/>
  <c r="W8"/>
  <c r="W7"/>
  <c r="W6"/>
  <c r="W5"/>
  <c r="W4"/>
  <c r="V4"/>
  <c r="U1"/>
  <c r="P1"/>
  <c r="J1"/>
  <c r="E1"/>
  <c r="G126" s="1"/>
  <c r="W156" i="9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19"/>
  <c r="W20"/>
  <c r="W21"/>
  <c r="W22"/>
  <c r="W23"/>
  <c r="W24"/>
  <c r="W25"/>
  <c r="W26"/>
  <c r="W27"/>
  <c r="W18"/>
  <c r="W17"/>
  <c r="W16"/>
  <c r="W15"/>
  <c r="W14"/>
  <c r="W13"/>
  <c r="W12"/>
  <c r="W11"/>
  <c r="W10"/>
  <c r="W9"/>
  <c r="W8"/>
  <c r="W7"/>
  <c r="W6"/>
  <c r="W5"/>
  <c r="W4"/>
  <c r="V4"/>
  <c r="U1"/>
  <c r="P1"/>
  <c r="J1"/>
  <c r="E1"/>
  <c r="G44" s="1"/>
  <c r="O44" s="1"/>
  <c r="W161" i="7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P64" i="1"/>
  <c r="Q64" s="1"/>
  <c r="L64"/>
  <c r="Q63"/>
  <c r="R54" s="1"/>
  <c r="P63"/>
  <c r="L63"/>
  <c r="P62"/>
  <c r="Q62" s="1"/>
  <c r="L62"/>
  <c r="V4" i="6"/>
  <c r="W4"/>
  <c r="W37" i="7"/>
  <c r="W38"/>
  <c r="W39"/>
  <c r="W40"/>
  <c r="W41"/>
  <c r="W42"/>
  <c r="W43"/>
  <c r="W44"/>
  <c r="W45"/>
  <c r="W46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4"/>
  <c r="U1"/>
  <c r="J1"/>
  <c r="P1" s="1"/>
  <c r="E1"/>
  <c r="G124" s="1"/>
  <c r="O124" s="1"/>
  <c r="W112" i="6"/>
  <c r="W113"/>
  <c r="W114"/>
  <c r="W115"/>
  <c r="W116"/>
  <c r="W117"/>
  <c r="W118"/>
  <c r="W119"/>
  <c r="W120"/>
  <c r="W121"/>
  <c r="W122"/>
  <c r="W86"/>
  <c r="W87"/>
  <c r="W88"/>
  <c r="W89"/>
  <c r="W90"/>
  <c r="W91"/>
  <c r="W92"/>
  <c r="W93"/>
  <c r="W94"/>
  <c r="W95"/>
  <c r="W96"/>
  <c r="W97"/>
  <c r="W98"/>
  <c r="W99"/>
  <c r="U1"/>
  <c r="W79"/>
  <c r="W80"/>
  <c r="W81"/>
  <c r="W82"/>
  <c r="W83"/>
  <c r="W84"/>
  <c r="W85"/>
  <c r="W111"/>
  <c r="W110"/>
  <c r="W109"/>
  <c r="W108"/>
  <c r="W107"/>
  <c r="W106"/>
  <c r="W105"/>
  <c r="W104"/>
  <c r="W103"/>
  <c r="W102"/>
  <c r="W101"/>
  <c r="W100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P1"/>
  <c r="J1"/>
  <c r="E1"/>
  <c r="W77" i="2"/>
  <c r="W78"/>
  <c r="W79"/>
  <c r="W80"/>
  <c r="W81"/>
  <c r="W82"/>
  <c r="W83"/>
  <c r="W84"/>
  <c r="W85"/>
  <c r="W86"/>
  <c r="W87"/>
  <c r="W88"/>
  <c r="W89"/>
  <c r="W90"/>
  <c r="W91"/>
  <c r="W92"/>
  <c r="X92"/>
  <c r="W93"/>
  <c r="W94"/>
  <c r="W95"/>
  <c r="W96"/>
  <c r="W97"/>
  <c r="W74"/>
  <c r="W75"/>
  <c r="W76"/>
  <c r="E99"/>
  <c r="F99"/>
  <c r="V99"/>
  <c r="W99"/>
  <c r="E100"/>
  <c r="F100"/>
  <c r="V100"/>
  <c r="W100"/>
  <c r="E101"/>
  <c r="F101"/>
  <c r="V101"/>
  <c r="W101"/>
  <c r="E102"/>
  <c r="F102"/>
  <c r="V102"/>
  <c r="W102"/>
  <c r="E103"/>
  <c r="F103"/>
  <c r="V103"/>
  <c r="W103"/>
  <c r="E104"/>
  <c r="F104"/>
  <c r="V104"/>
  <c r="W104"/>
  <c r="E105"/>
  <c r="F105"/>
  <c r="V105"/>
  <c r="W105"/>
  <c r="E106"/>
  <c r="F106"/>
  <c r="V106"/>
  <c r="W106"/>
  <c r="E107"/>
  <c r="F107"/>
  <c r="V107"/>
  <c r="W107"/>
  <c r="E108"/>
  <c r="F108"/>
  <c r="V108"/>
  <c r="W108"/>
  <c r="E109"/>
  <c r="F109"/>
  <c r="V109"/>
  <c r="W109"/>
  <c r="E110"/>
  <c r="F110"/>
  <c r="V110"/>
  <c r="W110"/>
  <c r="E111"/>
  <c r="F111"/>
  <c r="V111"/>
  <c r="W111"/>
  <c r="E112"/>
  <c r="F112"/>
  <c r="V112"/>
  <c r="W112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6"/>
  <c r="W7"/>
  <c r="W8"/>
  <c r="W9"/>
  <c r="W10"/>
  <c r="W11"/>
  <c r="W12"/>
  <c r="W13"/>
  <c r="W14"/>
  <c r="W5"/>
  <c r="J38" i="1"/>
  <c r="B38" s="1"/>
  <c r="J37"/>
  <c r="L7"/>
  <c r="A5" i="6" s="1"/>
  <c r="B5" s="1"/>
  <c r="M7" i="1"/>
  <c r="N7"/>
  <c r="O7"/>
  <c r="P7"/>
  <c r="Q7"/>
  <c r="R7"/>
  <c r="B7"/>
  <c r="V5" i="10" s="1"/>
  <c r="C7" i="1"/>
  <c r="D7"/>
  <c r="E7"/>
  <c r="F7"/>
  <c r="G7"/>
  <c r="H7"/>
  <c r="V150" i="9" s="1"/>
  <c r="L5" i="1"/>
  <c r="L4"/>
  <c r="B5"/>
  <c r="C5"/>
  <c r="D5"/>
  <c r="E5"/>
  <c r="V153" i="9" s="1"/>
  <c r="F5" i="1"/>
  <c r="G5"/>
  <c r="H5"/>
  <c r="M5"/>
  <c r="N5"/>
  <c r="P5"/>
  <c r="Q5"/>
  <c r="R5"/>
  <c r="W4" i="2"/>
  <c r="V4"/>
  <c r="J1"/>
  <c r="M1" s="1"/>
  <c r="X3" s="1"/>
  <c r="B10" i="1"/>
  <c r="G10" s="1"/>
  <c r="E1" i="2"/>
  <c r="P51" i="1"/>
  <c r="P53"/>
  <c r="S53" s="1"/>
  <c r="E63" s="1"/>
  <c r="P54"/>
  <c r="S54" s="1"/>
  <c r="E62" s="1"/>
  <c r="P55"/>
  <c r="S55" s="1"/>
  <c r="E61" s="1"/>
  <c r="G58"/>
  <c r="F1" i="12" s="1"/>
  <c r="J47" i="1"/>
  <c r="K47" s="1"/>
  <c r="J39"/>
  <c r="E39" s="1"/>
  <c r="F162" i="10" s="1"/>
  <c r="J40" i="1"/>
  <c r="C40" s="1"/>
  <c r="J41"/>
  <c r="B41" s="1"/>
  <c r="J42"/>
  <c r="B42" s="1"/>
  <c r="J43"/>
  <c r="B43" s="1"/>
  <c r="J44"/>
  <c r="B44" s="1"/>
  <c r="J45"/>
  <c r="B45" s="1"/>
  <c r="J46"/>
  <c r="B46" s="1"/>
  <c r="J48"/>
  <c r="B48" s="1"/>
  <c r="J36"/>
  <c r="E36" s="1"/>
  <c r="J34"/>
  <c r="F34" s="1"/>
  <c r="F35" s="1"/>
  <c r="Q10"/>
  <c r="L15"/>
  <c r="L13"/>
  <c r="N14"/>
  <c r="M14"/>
  <c r="M12"/>
  <c r="O40" s="1"/>
  <c r="N12"/>
  <c r="P40" s="1"/>
  <c r="O12"/>
  <c r="Q40" s="1"/>
  <c r="P12"/>
  <c r="R40" s="1"/>
  <c r="Q12"/>
  <c r="S40" s="1"/>
  <c r="R12"/>
  <c r="T40" s="1"/>
  <c r="M13"/>
  <c r="N13"/>
  <c r="O13"/>
  <c r="A29" i="6" s="1"/>
  <c r="P13" i="1"/>
  <c r="Q13"/>
  <c r="R13"/>
  <c r="O14"/>
  <c r="Q42" s="1"/>
  <c r="P14"/>
  <c r="Q14"/>
  <c r="R14"/>
  <c r="M15"/>
  <c r="N15"/>
  <c r="O15"/>
  <c r="Q43" s="1"/>
  <c r="P15"/>
  <c r="Q15"/>
  <c r="R15"/>
  <c r="N11"/>
  <c r="O11"/>
  <c r="Q39" s="1"/>
  <c r="P11"/>
  <c r="Q11"/>
  <c r="R11"/>
  <c r="M11"/>
  <c r="L11"/>
  <c r="M6"/>
  <c r="L6"/>
  <c r="N6"/>
  <c r="O6"/>
  <c r="P6"/>
  <c r="Q6"/>
  <c r="R6"/>
  <c r="T35" s="1"/>
  <c r="L8"/>
  <c r="M8"/>
  <c r="N8"/>
  <c r="O8"/>
  <c r="P8"/>
  <c r="Q8"/>
  <c r="R8"/>
  <c r="N9"/>
  <c r="O9"/>
  <c r="P9"/>
  <c r="Q9"/>
  <c r="R9"/>
  <c r="T37" s="1"/>
  <c r="L10"/>
  <c r="M10"/>
  <c r="N10"/>
  <c r="O10"/>
  <c r="U38" s="1"/>
  <c r="P10"/>
  <c r="R10"/>
  <c r="T38" s="1"/>
  <c r="L12"/>
  <c r="N40" s="1"/>
  <c r="L14"/>
  <c r="P4"/>
  <c r="O4"/>
  <c r="N4"/>
  <c r="Q4"/>
  <c r="R4"/>
  <c r="T34" s="1"/>
  <c r="M4"/>
  <c r="B17"/>
  <c r="B18"/>
  <c r="B16"/>
  <c r="C17"/>
  <c r="D17"/>
  <c r="E17"/>
  <c r="F17"/>
  <c r="G17"/>
  <c r="H17"/>
  <c r="V56" i="7" s="1"/>
  <c r="C18" i="1"/>
  <c r="D18"/>
  <c r="E18"/>
  <c r="F18"/>
  <c r="G18"/>
  <c r="H18"/>
  <c r="V10" i="2" s="1"/>
  <c r="D16" i="1"/>
  <c r="E16"/>
  <c r="F16"/>
  <c r="G16"/>
  <c r="H16"/>
  <c r="C16"/>
  <c r="B15"/>
  <c r="B12"/>
  <c r="B13"/>
  <c r="B14"/>
  <c r="B11"/>
  <c r="C12"/>
  <c r="D12"/>
  <c r="E12"/>
  <c r="F12"/>
  <c r="G12"/>
  <c r="H12"/>
  <c r="C13"/>
  <c r="D13"/>
  <c r="E13"/>
  <c r="V108" i="7" s="1"/>
  <c r="F13" i="1"/>
  <c r="G13"/>
  <c r="H13"/>
  <c r="V155" i="9" s="1"/>
  <c r="C14" i="1"/>
  <c r="D14"/>
  <c r="E14"/>
  <c r="F14"/>
  <c r="G14"/>
  <c r="H14"/>
  <c r="V142" i="9" s="1"/>
  <c r="C15" i="1"/>
  <c r="D15"/>
  <c r="E15"/>
  <c r="F15"/>
  <c r="G15"/>
  <c r="H15"/>
  <c r="D11"/>
  <c r="E11"/>
  <c r="F11"/>
  <c r="G11"/>
  <c r="H11"/>
  <c r="C11"/>
  <c r="C6"/>
  <c r="D6"/>
  <c r="E6"/>
  <c r="F6"/>
  <c r="G6"/>
  <c r="H6"/>
  <c r="C8"/>
  <c r="D8"/>
  <c r="E8"/>
  <c r="V27" i="9" s="1"/>
  <c r="F8" i="1"/>
  <c r="G8"/>
  <c r="H8"/>
  <c r="C9"/>
  <c r="D9"/>
  <c r="E9"/>
  <c r="V76" i="7" s="1"/>
  <c r="F9" i="1"/>
  <c r="G9"/>
  <c r="H9"/>
  <c r="V85" i="9" s="1"/>
  <c r="D4" i="1"/>
  <c r="E4"/>
  <c r="V7" i="7" s="1"/>
  <c r="F4" i="1"/>
  <c r="G4"/>
  <c r="H4"/>
  <c r="C4"/>
  <c r="B9"/>
  <c r="B4"/>
  <c r="B6"/>
  <c r="B8"/>
  <c r="N8" i="13" l="1"/>
  <c r="R114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O89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I18"/>
  <c r="I19" s="1"/>
  <c r="A18"/>
  <c r="O8"/>
  <c r="O9" s="1"/>
  <c r="O10" s="1"/>
  <c r="O11" s="1"/>
  <c r="O12" s="1"/>
  <c r="L8"/>
  <c r="L9" s="1"/>
  <c r="L10" s="1"/>
  <c r="L11" s="1"/>
  <c r="L12" s="1"/>
  <c r="Y4"/>
  <c r="R142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T122"/>
  <c r="T123" s="1"/>
  <c r="T124" s="1"/>
  <c r="T125" s="1"/>
  <c r="T126" s="1"/>
  <c r="T127" s="1"/>
  <c r="T128" s="1"/>
  <c r="T129" s="1"/>
  <c r="R88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I38"/>
  <c r="A148"/>
  <c r="I148"/>
  <c r="I149" s="1"/>
  <c r="I8"/>
  <c r="U122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I96"/>
  <c r="I88"/>
  <c r="I22"/>
  <c r="Q34"/>
  <c r="Q35" s="1"/>
  <c r="Q36" s="1"/>
  <c r="Q37" s="1"/>
  <c r="Q38" s="1"/>
  <c r="Q39" s="1"/>
  <c r="Q40" s="1"/>
  <c r="N112"/>
  <c r="A112"/>
  <c r="U74"/>
  <c r="U75" s="1"/>
  <c r="U76" s="1"/>
  <c r="U77" s="1"/>
  <c r="U78" s="1"/>
  <c r="U79" s="1"/>
  <c r="U80" s="1"/>
  <c r="A74"/>
  <c r="I74"/>
  <c r="I107"/>
  <c r="Z128"/>
  <c r="K128"/>
  <c r="Z153"/>
  <c r="K153"/>
  <c r="K96"/>
  <c r="Z96"/>
  <c r="Z145"/>
  <c r="K145"/>
  <c r="Z112"/>
  <c r="K112"/>
  <c r="K85"/>
  <c r="Z85"/>
  <c r="K137"/>
  <c r="Z137"/>
  <c r="Z120"/>
  <c r="K120"/>
  <c r="N138"/>
  <c r="A138"/>
  <c r="K103"/>
  <c r="Z103"/>
  <c r="N86"/>
  <c r="A86"/>
  <c r="K77"/>
  <c r="Z77"/>
  <c r="K68"/>
  <c r="Z68"/>
  <c r="Z51"/>
  <c r="K51"/>
  <c r="K60"/>
  <c r="Z60"/>
  <c r="Z44"/>
  <c r="K44"/>
  <c r="N61"/>
  <c r="A61"/>
  <c r="N37"/>
  <c r="A37"/>
  <c r="K35"/>
  <c r="Z35"/>
  <c r="Z26"/>
  <c r="K26"/>
  <c r="Z18"/>
  <c r="K18"/>
  <c r="X4"/>
  <c r="Y5" s="1"/>
  <c r="O13"/>
  <c r="O14" s="1"/>
  <c r="U6"/>
  <c r="U7" s="1"/>
  <c r="U8" s="1"/>
  <c r="U9" s="1"/>
  <c r="U10" s="1"/>
  <c r="U11" s="1"/>
  <c r="U12" s="1"/>
  <c r="U13" s="1"/>
  <c r="U14" s="1"/>
  <c r="R10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L13"/>
  <c r="L14" s="1"/>
  <c r="C6"/>
  <c r="C7" s="1"/>
  <c r="C8" s="1"/>
  <c r="C9" s="1"/>
  <c r="C10" s="1"/>
  <c r="C11" s="1"/>
  <c r="C12" s="1"/>
  <c r="C13" s="1"/>
  <c r="O15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U15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L15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Z6"/>
  <c r="A6"/>
  <c r="B6" s="1"/>
  <c r="X5"/>
  <c r="AA5"/>
  <c r="I14"/>
  <c r="T6"/>
  <c r="T7" s="1"/>
  <c r="T8" s="1"/>
  <c r="T9" s="1"/>
  <c r="T10" s="1"/>
  <c r="T11" s="1"/>
  <c r="T12" s="1"/>
  <c r="T13" s="1"/>
  <c r="T14" s="1"/>
  <c r="T15" s="1"/>
  <c r="T16" s="1"/>
  <c r="T17" s="1"/>
  <c r="T18" s="1"/>
  <c r="N9"/>
  <c r="A9"/>
  <c r="Z8"/>
  <c r="K8"/>
  <c r="C14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K102" i="12"/>
  <c r="Z103" s="1"/>
  <c r="K147"/>
  <c r="Z147"/>
  <c r="A149"/>
  <c r="N149"/>
  <c r="Z120"/>
  <c r="K120"/>
  <c r="K138"/>
  <c r="Z138"/>
  <c r="Z129"/>
  <c r="K129"/>
  <c r="K91"/>
  <c r="Z91"/>
  <c r="N121"/>
  <c r="A121"/>
  <c r="K166"/>
  <c r="Z166"/>
  <c r="Z156"/>
  <c r="K156"/>
  <c r="K111"/>
  <c r="Z111"/>
  <c r="N92"/>
  <c r="A92"/>
  <c r="X5"/>
  <c r="Y6" s="1"/>
  <c r="O126" i="10"/>
  <c r="A126"/>
  <c r="G98" i="11"/>
  <c r="O98" s="1"/>
  <c r="G124"/>
  <c r="E81" i="10"/>
  <c r="E80"/>
  <c r="E78"/>
  <c r="F77"/>
  <c r="E70"/>
  <c r="E69"/>
  <c r="F64"/>
  <c r="F63"/>
  <c r="E54"/>
  <c r="G54" s="1"/>
  <c r="A54" s="1"/>
  <c r="G45"/>
  <c r="E44"/>
  <c r="G44" s="1"/>
  <c r="E42"/>
  <c r="E41"/>
  <c r="F28"/>
  <c r="F25"/>
  <c r="F24"/>
  <c r="F12" i="11"/>
  <c r="F13"/>
  <c r="F15"/>
  <c r="F16"/>
  <c r="E18"/>
  <c r="G18" s="1"/>
  <c r="I18" s="1"/>
  <c r="E19"/>
  <c r="G45"/>
  <c r="O45" s="1"/>
  <c r="E42"/>
  <c r="F41"/>
  <c r="E36"/>
  <c r="F34"/>
  <c r="F33"/>
  <c r="F25"/>
  <c r="F24"/>
  <c r="F96" i="10"/>
  <c r="E97"/>
  <c r="G97" s="1"/>
  <c r="E105"/>
  <c r="G105" s="1"/>
  <c r="I105" s="1"/>
  <c r="I106" s="1"/>
  <c r="E106"/>
  <c r="G106" s="1"/>
  <c r="A106" s="1"/>
  <c r="F109"/>
  <c r="E114"/>
  <c r="F118"/>
  <c r="F126"/>
  <c r="E131"/>
  <c r="G131" s="1"/>
  <c r="E132"/>
  <c r="G132" s="1"/>
  <c r="A132" s="1"/>
  <c r="E141"/>
  <c r="G141" s="1"/>
  <c r="A141" s="1"/>
  <c r="F144"/>
  <c r="F150"/>
  <c r="F151"/>
  <c r="E158"/>
  <c r="F161"/>
  <c r="E86" i="12"/>
  <c r="G86" s="1"/>
  <c r="A86" s="1"/>
  <c r="F85"/>
  <c r="F83"/>
  <c r="E77"/>
  <c r="G77" s="1"/>
  <c r="A77" s="1"/>
  <c r="E76"/>
  <c r="G76" s="1"/>
  <c r="F67"/>
  <c r="F66"/>
  <c r="E63"/>
  <c r="G63" s="1"/>
  <c r="E58"/>
  <c r="G58" s="1"/>
  <c r="E56"/>
  <c r="G56" s="1"/>
  <c r="A56" s="1"/>
  <c r="E55"/>
  <c r="E49"/>
  <c r="E47"/>
  <c r="E46"/>
  <c r="E39"/>
  <c r="G39" s="1"/>
  <c r="I39" s="1"/>
  <c r="F37"/>
  <c r="F36"/>
  <c r="E32"/>
  <c r="G32" s="1"/>
  <c r="A32" s="1"/>
  <c r="E23"/>
  <c r="G23" s="1"/>
  <c r="A23" s="1"/>
  <c r="E22"/>
  <c r="G22" s="1"/>
  <c r="E19"/>
  <c r="G19" s="1"/>
  <c r="E14"/>
  <c r="E13"/>
  <c r="E11"/>
  <c r="E10"/>
  <c r="E158" i="11"/>
  <c r="F155"/>
  <c r="E150"/>
  <c r="F148"/>
  <c r="E147"/>
  <c r="E141"/>
  <c r="G141" s="1"/>
  <c r="E139"/>
  <c r="G139" s="1"/>
  <c r="A139" s="1"/>
  <c r="E128"/>
  <c r="G128" s="1"/>
  <c r="F124"/>
  <c r="E121"/>
  <c r="E120"/>
  <c r="E113"/>
  <c r="E112"/>
  <c r="F107"/>
  <c r="F104"/>
  <c r="F103"/>
  <c r="E95"/>
  <c r="G95" s="1"/>
  <c r="E63"/>
  <c r="G63" s="1"/>
  <c r="A63" s="1"/>
  <c r="E59"/>
  <c r="G59" s="1"/>
  <c r="F63"/>
  <c r="F86" i="12"/>
  <c r="F77"/>
  <c r="F76"/>
  <c r="F63"/>
  <c r="E59"/>
  <c r="G59" s="1"/>
  <c r="A59" s="1"/>
  <c r="F58"/>
  <c r="F56"/>
  <c r="F55"/>
  <c r="E50"/>
  <c r="F49"/>
  <c r="G49" s="1"/>
  <c r="F47"/>
  <c r="F46"/>
  <c r="E40"/>
  <c r="G40" s="1"/>
  <c r="F39"/>
  <c r="F32"/>
  <c r="E29"/>
  <c r="G29" s="1"/>
  <c r="A29" s="1"/>
  <c r="E28"/>
  <c r="G28" s="1"/>
  <c r="F23"/>
  <c r="F22"/>
  <c r="E20"/>
  <c r="G20" s="1"/>
  <c r="A20" s="1"/>
  <c r="F19"/>
  <c r="F14"/>
  <c r="F13"/>
  <c r="F11"/>
  <c r="F10"/>
  <c r="E159" i="11"/>
  <c r="F158"/>
  <c r="E156"/>
  <c r="E151"/>
  <c r="F150"/>
  <c r="F147"/>
  <c r="F141"/>
  <c r="F139"/>
  <c r="E133"/>
  <c r="G133" s="1"/>
  <c r="A133" s="1"/>
  <c r="E132"/>
  <c r="G132" s="1"/>
  <c r="E129"/>
  <c r="G129" s="1"/>
  <c r="A129" s="1"/>
  <c r="F128"/>
  <c r="F121"/>
  <c r="F120"/>
  <c r="F113"/>
  <c r="F112"/>
  <c r="E106"/>
  <c r="G106" s="1"/>
  <c r="E97"/>
  <c r="G97" s="1"/>
  <c r="I97" s="1"/>
  <c r="I98" s="1"/>
  <c r="F95"/>
  <c r="E91"/>
  <c r="G91" s="1"/>
  <c r="F80"/>
  <c r="E77"/>
  <c r="F76"/>
  <c r="E68"/>
  <c r="F59"/>
  <c r="E82" i="12"/>
  <c r="G82" s="1"/>
  <c r="E74"/>
  <c r="G74" s="1"/>
  <c r="A74" s="1"/>
  <c r="E73"/>
  <c r="G73" s="1"/>
  <c r="E64"/>
  <c r="G64" s="1"/>
  <c r="F59"/>
  <c r="F50"/>
  <c r="F40"/>
  <c r="E31"/>
  <c r="G31" s="1"/>
  <c r="F29"/>
  <c r="F28"/>
  <c r="F20"/>
  <c r="E8"/>
  <c r="E7"/>
  <c r="F159" i="11"/>
  <c r="F156"/>
  <c r="F151"/>
  <c r="E142"/>
  <c r="G142" s="1"/>
  <c r="A142" s="1"/>
  <c r="E138"/>
  <c r="G138" s="1"/>
  <c r="F133"/>
  <c r="F132"/>
  <c r="F129"/>
  <c r="E123"/>
  <c r="G123" s="1"/>
  <c r="E116"/>
  <c r="E115"/>
  <c r="F106"/>
  <c r="E98"/>
  <c r="F97"/>
  <c r="E94"/>
  <c r="G94" s="1"/>
  <c r="I94" s="1"/>
  <c r="I95" s="1"/>
  <c r="E92"/>
  <c r="G92" s="1"/>
  <c r="F91"/>
  <c r="E79"/>
  <c r="F77"/>
  <c r="E72"/>
  <c r="E69"/>
  <c r="F68"/>
  <c r="F60"/>
  <c r="E54"/>
  <c r="G54" s="1"/>
  <c r="A54" s="1"/>
  <c r="E50"/>
  <c r="G50" s="1"/>
  <c r="A50" s="1"/>
  <c r="F49"/>
  <c r="E53"/>
  <c r="G53" s="1"/>
  <c r="E85" i="12"/>
  <c r="G85" s="1"/>
  <c r="E83"/>
  <c r="G83" s="1"/>
  <c r="A83" s="1"/>
  <c r="F82"/>
  <c r="F74"/>
  <c r="F73"/>
  <c r="E67"/>
  <c r="G67" s="1"/>
  <c r="E66"/>
  <c r="G66" s="1"/>
  <c r="I66" s="1"/>
  <c r="F64"/>
  <c r="E37"/>
  <c r="G37" s="1"/>
  <c r="E36"/>
  <c r="F31"/>
  <c r="F8"/>
  <c r="G8" s="1"/>
  <c r="F7"/>
  <c r="E155" i="11"/>
  <c r="E148"/>
  <c r="F142"/>
  <c r="F138"/>
  <c r="E124"/>
  <c r="F123"/>
  <c r="F116"/>
  <c r="F115"/>
  <c r="E107"/>
  <c r="G107" s="1"/>
  <c r="A107" s="1"/>
  <c r="E104"/>
  <c r="G104" s="1"/>
  <c r="A104" s="1"/>
  <c r="E103"/>
  <c r="G103" s="1"/>
  <c r="F98"/>
  <c r="F94"/>
  <c r="F92"/>
  <c r="F79"/>
  <c r="F72"/>
  <c r="E71"/>
  <c r="F69"/>
  <c r="E62"/>
  <c r="G62" s="1"/>
  <c r="F54"/>
  <c r="F50"/>
  <c r="E80"/>
  <c r="E76"/>
  <c r="F71"/>
  <c r="F62"/>
  <c r="E60"/>
  <c r="G60" s="1"/>
  <c r="A60" s="1"/>
  <c r="F53"/>
  <c r="E49"/>
  <c r="G49" s="1"/>
  <c r="F81" i="10"/>
  <c r="F80"/>
  <c r="F78"/>
  <c r="E73"/>
  <c r="E72"/>
  <c r="F70"/>
  <c r="F69"/>
  <c r="E61"/>
  <c r="G61" s="1"/>
  <c r="A61" s="1"/>
  <c r="E60"/>
  <c r="G60" s="1"/>
  <c r="I60" s="1"/>
  <c r="I61" s="1"/>
  <c r="E55"/>
  <c r="G55" s="1"/>
  <c r="A55" s="1"/>
  <c r="F54"/>
  <c r="E50"/>
  <c r="G50" s="1"/>
  <c r="F44"/>
  <c r="F42"/>
  <c r="F41"/>
  <c r="E34"/>
  <c r="E33"/>
  <c r="E12" i="11"/>
  <c r="G12" s="1"/>
  <c r="E13"/>
  <c r="G13" s="1"/>
  <c r="E15"/>
  <c r="G15" s="1"/>
  <c r="I15" s="1"/>
  <c r="E16"/>
  <c r="G16" s="1"/>
  <c r="F42"/>
  <c r="E37"/>
  <c r="F36"/>
  <c r="E27"/>
  <c r="G27" s="1"/>
  <c r="A27" s="1"/>
  <c r="E96" i="10"/>
  <c r="G96" s="1"/>
  <c r="I96" s="1"/>
  <c r="I97" s="1"/>
  <c r="F100"/>
  <c r="E109"/>
  <c r="G109" s="1"/>
  <c r="A109" s="1"/>
  <c r="F117"/>
  <c r="E118"/>
  <c r="F123"/>
  <c r="F125"/>
  <c r="E126"/>
  <c r="F135"/>
  <c r="F136"/>
  <c r="F142"/>
  <c r="E144"/>
  <c r="G144" s="1"/>
  <c r="A144" s="1"/>
  <c r="E150"/>
  <c r="E151"/>
  <c r="F159"/>
  <c r="E161"/>
  <c r="E162"/>
  <c r="E5" i="12"/>
  <c r="F5"/>
  <c r="G5" s="1"/>
  <c r="F73" i="10"/>
  <c r="F72"/>
  <c r="F61"/>
  <c r="F60"/>
  <c r="F55"/>
  <c r="E51"/>
  <c r="G51" s="1"/>
  <c r="A51" s="1"/>
  <c r="F50"/>
  <c r="E45"/>
  <c r="E37"/>
  <c r="E36"/>
  <c r="F34"/>
  <c r="F33"/>
  <c r="E27"/>
  <c r="G27" s="1"/>
  <c r="G19" i="11"/>
  <c r="E45"/>
  <c r="E44"/>
  <c r="G44" s="1"/>
  <c r="F37"/>
  <c r="E28"/>
  <c r="G28" s="1"/>
  <c r="A28" s="1"/>
  <c r="F27"/>
  <c r="Q37" i="1"/>
  <c r="F93" i="10"/>
  <c r="F94"/>
  <c r="G98"/>
  <c r="E100"/>
  <c r="G100" s="1"/>
  <c r="I100" s="1"/>
  <c r="F108"/>
  <c r="F115"/>
  <c r="E117"/>
  <c r="F122"/>
  <c r="E123"/>
  <c r="E125"/>
  <c r="G125" s="1"/>
  <c r="E135"/>
  <c r="G135" s="1"/>
  <c r="E136"/>
  <c r="G136" s="1"/>
  <c r="A136" s="1"/>
  <c r="E142"/>
  <c r="G142" s="1"/>
  <c r="A142" s="1"/>
  <c r="F145"/>
  <c r="F153"/>
  <c r="F154"/>
  <c r="E159"/>
  <c r="E77"/>
  <c r="E64"/>
  <c r="G64" s="1"/>
  <c r="A64" s="1"/>
  <c r="E63"/>
  <c r="G63" s="1"/>
  <c r="I63" s="1"/>
  <c r="F51"/>
  <c r="F45"/>
  <c r="F37"/>
  <c r="F36"/>
  <c r="E28"/>
  <c r="G28" s="1"/>
  <c r="A28" s="1"/>
  <c r="F27"/>
  <c r="E25"/>
  <c r="G25" s="1"/>
  <c r="A25" s="1"/>
  <c r="E24"/>
  <c r="G24" s="1"/>
  <c r="A24" s="1"/>
  <c r="F1" i="11"/>
  <c r="F18"/>
  <c r="F19"/>
  <c r="F45"/>
  <c r="F44"/>
  <c r="E41"/>
  <c r="E34"/>
  <c r="E33"/>
  <c r="F28"/>
  <c r="E25"/>
  <c r="G25" s="1"/>
  <c r="A25" s="1"/>
  <c r="E24"/>
  <c r="G24" s="1"/>
  <c r="E93" i="10"/>
  <c r="G93" s="1"/>
  <c r="E94"/>
  <c r="G94" s="1"/>
  <c r="F97"/>
  <c r="F105"/>
  <c r="F106"/>
  <c r="E108"/>
  <c r="G108" s="1"/>
  <c r="F114"/>
  <c r="E115"/>
  <c r="E122"/>
  <c r="F131"/>
  <c r="F132"/>
  <c r="F141"/>
  <c r="E145"/>
  <c r="G145" s="1"/>
  <c r="A145" s="1"/>
  <c r="E153"/>
  <c r="E154"/>
  <c r="F158"/>
  <c r="X84" i="11"/>
  <c r="Y84"/>
  <c r="Y48"/>
  <c r="X48"/>
  <c r="I93" i="10"/>
  <c r="I94" s="1"/>
  <c r="Z93"/>
  <c r="K93"/>
  <c r="N93"/>
  <c r="Y99"/>
  <c r="X99"/>
  <c r="I125"/>
  <c r="I126" s="1"/>
  <c r="A125"/>
  <c r="I135"/>
  <c r="I136" s="1"/>
  <c r="A135"/>
  <c r="A93"/>
  <c r="A105"/>
  <c r="Y93"/>
  <c r="X93"/>
  <c r="L93"/>
  <c r="L94" s="1"/>
  <c r="I131"/>
  <c r="I132" s="1"/>
  <c r="K131"/>
  <c r="Z131"/>
  <c r="L131"/>
  <c r="L132" s="1"/>
  <c r="A131"/>
  <c r="I141"/>
  <c r="I142" s="1"/>
  <c r="I144"/>
  <c r="I145" s="1"/>
  <c r="I44" i="11"/>
  <c r="I45" s="1"/>
  <c r="A44"/>
  <c r="A45"/>
  <c r="I27"/>
  <c r="I28" s="1"/>
  <c r="X17"/>
  <c r="X18" s="1"/>
  <c r="X19" s="1"/>
  <c r="X20" s="1"/>
  <c r="Y17"/>
  <c r="X4"/>
  <c r="X1"/>
  <c r="Y4"/>
  <c r="Z12"/>
  <c r="K12"/>
  <c r="L12"/>
  <c r="L13" s="1"/>
  <c r="A12"/>
  <c r="N12"/>
  <c r="I12"/>
  <c r="I13" s="1"/>
  <c r="Y21" i="10"/>
  <c r="Y22"/>
  <c r="X22"/>
  <c r="A63"/>
  <c r="A50"/>
  <c r="L50"/>
  <c r="L51" s="1"/>
  <c r="Z50"/>
  <c r="K50"/>
  <c r="I50"/>
  <c r="I51" s="1"/>
  <c r="I64"/>
  <c r="A60"/>
  <c r="I24"/>
  <c r="I25" s="1"/>
  <c r="I54"/>
  <c r="I55" s="1"/>
  <c r="X20"/>
  <c r="Y20"/>
  <c r="A124" i="7"/>
  <c r="A44" i="9"/>
  <c r="V52" i="2"/>
  <c r="V18"/>
  <c r="V86"/>
  <c r="A45" i="6"/>
  <c r="V98" i="7"/>
  <c r="V132"/>
  <c r="V144"/>
  <c r="V23" i="9"/>
  <c r="E90"/>
  <c r="G90" s="1"/>
  <c r="V128"/>
  <c r="E130"/>
  <c r="G130" s="1"/>
  <c r="A130" s="1"/>
  <c r="F133"/>
  <c r="F66"/>
  <c r="F44"/>
  <c r="A16" i="2"/>
  <c r="A61" i="6"/>
  <c r="V52" i="7"/>
  <c r="V100"/>
  <c r="V116"/>
  <c r="V156"/>
  <c r="E92" i="9"/>
  <c r="G92" s="1"/>
  <c r="F113"/>
  <c r="V120"/>
  <c r="E122"/>
  <c r="F125"/>
  <c r="F137"/>
  <c r="V78"/>
  <c r="A32" i="2"/>
  <c r="V140" i="7"/>
  <c r="E86" i="9"/>
  <c r="E89"/>
  <c r="G89" s="1"/>
  <c r="F105"/>
  <c r="F129"/>
  <c r="F145"/>
  <c r="V152"/>
  <c r="E61"/>
  <c r="G61" s="1"/>
  <c r="A61" s="1"/>
  <c r="V66" i="2"/>
  <c r="V32"/>
  <c r="V48" i="7"/>
  <c r="V84"/>
  <c r="V124"/>
  <c r="V136"/>
  <c r="V148"/>
  <c r="V5" i="9"/>
  <c r="F97"/>
  <c r="F121"/>
  <c r="V136"/>
  <c r="E138"/>
  <c r="G138" s="1"/>
  <c r="A138" s="1"/>
  <c r="V86" i="10"/>
  <c r="R62" i="1"/>
  <c r="R53"/>
  <c r="V60" i="7"/>
  <c r="V68"/>
  <c r="V28" i="9"/>
  <c r="V35"/>
  <c r="V41"/>
  <c r="V44"/>
  <c r="V72"/>
  <c r="V75"/>
  <c r="V40"/>
  <c r="V50"/>
  <c r="V53"/>
  <c r="V61"/>
  <c r="V66"/>
  <c r="V33"/>
  <c r="V52"/>
  <c r="V58"/>
  <c r="V60"/>
  <c r="V68"/>
  <c r="V16" i="10"/>
  <c r="V12"/>
  <c r="V147" i="9"/>
  <c r="V115"/>
  <c r="V107"/>
  <c r="V99"/>
  <c r="V26"/>
  <c r="V17"/>
  <c r="V13"/>
  <c r="V141" i="7"/>
  <c r="V133"/>
  <c r="V129"/>
  <c r="V121"/>
  <c r="V113"/>
  <c r="V94"/>
  <c r="V92"/>
  <c r="V77"/>
  <c r="V69"/>
  <c r="V53"/>
  <c r="V49"/>
  <c r="V41"/>
  <c r="V34"/>
  <c r="V16" i="2"/>
  <c r="V24"/>
  <c r="V58"/>
  <c r="V57" i="9"/>
  <c r="V140"/>
  <c r="V32"/>
  <c r="V36"/>
  <c r="V49"/>
  <c r="V15" i="10"/>
  <c r="V13"/>
  <c r="V145" i="9"/>
  <c r="V137"/>
  <c r="V133"/>
  <c r="V129"/>
  <c r="V125"/>
  <c r="V121"/>
  <c r="V113"/>
  <c r="V105"/>
  <c r="V97"/>
  <c r="V24"/>
  <c r="V16"/>
  <c r="V12"/>
  <c r="V159" i="7"/>
  <c r="V155"/>
  <c r="V151"/>
  <c r="V147"/>
  <c r="V139"/>
  <c r="V123"/>
  <c r="V115"/>
  <c r="V107"/>
  <c r="V103"/>
  <c r="V95"/>
  <c r="V91"/>
  <c r="V79"/>
  <c r="V71"/>
  <c r="V63"/>
  <c r="V59"/>
  <c r="V37"/>
  <c r="V45"/>
  <c r="V34" i="2"/>
  <c r="V68"/>
  <c r="V12"/>
  <c r="V43" i="9"/>
  <c r="V65"/>
  <c r="V73"/>
  <c r="V138"/>
  <c r="V130"/>
  <c r="V122"/>
  <c r="V92"/>
  <c r="V90"/>
  <c r="V89"/>
  <c r="V86"/>
  <c r="V19"/>
  <c r="V158" i="7"/>
  <c r="V150"/>
  <c r="V142"/>
  <c r="V138"/>
  <c r="V106"/>
  <c r="V62"/>
  <c r="V54"/>
  <c r="V50"/>
  <c r="V28" i="2"/>
  <c r="V36"/>
  <c r="V48"/>
  <c r="V62"/>
  <c r="V70"/>
  <c r="V144" i="9"/>
  <c r="V46"/>
  <c r="V54"/>
  <c r="V69"/>
  <c r="V9" i="10"/>
  <c r="V37" i="9"/>
  <c r="V76"/>
  <c r="V29"/>
  <c r="V125" i="7"/>
  <c r="V117"/>
  <c r="V81"/>
  <c r="V73"/>
  <c r="V148" i="9"/>
  <c r="V62"/>
  <c r="V141"/>
  <c r="V109"/>
  <c r="V101"/>
  <c r="V143" i="7"/>
  <c r="V55"/>
  <c r="V79" i="6"/>
  <c r="V20" i="2"/>
  <c r="V54"/>
  <c r="V83" i="9"/>
  <c r="V90" i="10"/>
  <c r="V134" i="9"/>
  <c r="V126"/>
  <c r="V118"/>
  <c r="V93"/>
  <c r="V134" i="7"/>
  <c r="V99"/>
  <c r="V55" i="2"/>
  <c r="V30"/>
  <c r="V64"/>
  <c r="A33" i="6"/>
  <c r="A49"/>
  <c r="A36" i="2"/>
  <c r="A52"/>
  <c r="A25" i="6"/>
  <c r="A41"/>
  <c r="A77"/>
  <c r="A12" i="2"/>
  <c r="A28"/>
  <c r="A68"/>
  <c r="A53" i="6"/>
  <c r="A24" i="2"/>
  <c r="A40"/>
  <c r="F1"/>
  <c r="G92" s="1"/>
  <c r="F1" i="10"/>
  <c r="G162" s="1"/>
  <c r="A162" s="1"/>
  <c r="A57" i="6"/>
  <c r="A73"/>
  <c r="V40" i="2"/>
  <c r="A48"/>
  <c r="V104" i="7"/>
  <c r="V112"/>
  <c r="V120"/>
  <c r="V128"/>
  <c r="V152"/>
  <c r="V160"/>
  <c r="R64" i="1"/>
  <c r="R55"/>
  <c r="V74" i="2"/>
  <c r="V64" i="7"/>
  <c r="V72"/>
  <c r="V80"/>
  <c r="V88"/>
  <c r="V9" i="9"/>
  <c r="V20"/>
  <c r="V96"/>
  <c r="V100"/>
  <c r="V104"/>
  <c r="V108"/>
  <c r="V112"/>
  <c r="V116"/>
  <c r="V124"/>
  <c r="V132"/>
  <c r="V67"/>
  <c r="V34"/>
  <c r="V42"/>
  <c r="V6" i="10"/>
  <c r="V19"/>
  <c r="V7"/>
  <c r="V19" i="2"/>
  <c r="V45" i="9"/>
  <c r="V77"/>
  <c r="V156"/>
  <c r="V84"/>
  <c r="V91" i="10"/>
  <c r="V10"/>
  <c r="Q41" i="1"/>
  <c r="F77" i="6"/>
  <c r="F32" i="9"/>
  <c r="E33"/>
  <c r="F36"/>
  <c r="E44"/>
  <c r="F52"/>
  <c r="E58"/>
  <c r="G58" s="1"/>
  <c r="A58" s="1"/>
  <c r="F60"/>
  <c r="E66"/>
  <c r="G66" s="1"/>
  <c r="A66" s="1"/>
  <c r="F68"/>
  <c r="F73"/>
  <c r="E32"/>
  <c r="F35"/>
  <c r="E36"/>
  <c r="F41"/>
  <c r="F43"/>
  <c r="F49"/>
  <c r="E52"/>
  <c r="G52" s="1"/>
  <c r="F57"/>
  <c r="E60"/>
  <c r="G60" s="1"/>
  <c r="F65"/>
  <c r="E68"/>
  <c r="G68" s="1"/>
  <c r="F72"/>
  <c r="E73"/>
  <c r="G73" s="1"/>
  <c r="A73" s="1"/>
  <c r="E16" i="10"/>
  <c r="G16" s="1"/>
  <c r="E15"/>
  <c r="G15" s="1"/>
  <c r="I15" s="1"/>
  <c r="E13"/>
  <c r="E12"/>
  <c r="F28" i="9"/>
  <c r="E35"/>
  <c r="F40"/>
  <c r="E41"/>
  <c r="E43"/>
  <c r="G43" s="1"/>
  <c r="E49"/>
  <c r="G49" s="1"/>
  <c r="L49" s="1"/>
  <c r="F50"/>
  <c r="F53"/>
  <c r="E57"/>
  <c r="G57" s="1"/>
  <c r="F61"/>
  <c r="E65"/>
  <c r="G65" s="1"/>
  <c r="E72"/>
  <c r="G72" s="1"/>
  <c r="F75"/>
  <c r="F16" i="10"/>
  <c r="F15"/>
  <c r="F13"/>
  <c r="F12"/>
  <c r="V56" i="2"/>
  <c r="V22"/>
  <c r="V94"/>
  <c r="A37" i="6"/>
  <c r="A18"/>
  <c r="V58" i="7"/>
  <c r="V66"/>
  <c r="V70"/>
  <c r="V74"/>
  <c r="V78"/>
  <c r="V82"/>
  <c r="V86"/>
  <c r="V90"/>
  <c r="V97"/>
  <c r="V102"/>
  <c r="V110"/>
  <c r="V114"/>
  <c r="V118"/>
  <c r="V122"/>
  <c r="V126"/>
  <c r="V130"/>
  <c r="V146"/>
  <c r="V154"/>
  <c r="V7" i="9"/>
  <c r="V11"/>
  <c r="V25"/>
  <c r="V21"/>
  <c r="V87"/>
  <c r="V88"/>
  <c r="V94"/>
  <c r="E96"/>
  <c r="G96" s="1"/>
  <c r="V98"/>
  <c r="F99"/>
  <c r="E100"/>
  <c r="G100" s="1"/>
  <c r="A100" s="1"/>
  <c r="V102"/>
  <c r="E104"/>
  <c r="V106"/>
  <c r="F107"/>
  <c r="E108"/>
  <c r="V110"/>
  <c r="E112"/>
  <c r="V114"/>
  <c r="F115"/>
  <c r="E116"/>
  <c r="E124"/>
  <c r="G124" s="1"/>
  <c r="E132"/>
  <c r="E140"/>
  <c r="G140" s="1"/>
  <c r="E144"/>
  <c r="G144" s="1"/>
  <c r="V146"/>
  <c r="F147"/>
  <c r="V154"/>
  <c r="E75"/>
  <c r="G75" s="1"/>
  <c r="F58"/>
  <c r="V47"/>
  <c r="V38"/>
  <c r="V30"/>
  <c r="V55"/>
  <c r="V63"/>
  <c r="V70"/>
  <c r="V31"/>
  <c r="V48"/>
  <c r="V56"/>
  <c r="V64"/>
  <c r="V71"/>
  <c r="V85" i="10"/>
  <c r="V39" i="9"/>
  <c r="V11" i="10"/>
  <c r="V46" i="2"/>
  <c r="V85" i="6"/>
  <c r="V83"/>
  <c r="V81"/>
  <c r="V11" i="7"/>
  <c r="V22"/>
  <c r="V30"/>
  <c r="V47"/>
  <c r="V51"/>
  <c r="V67"/>
  <c r="V75"/>
  <c r="V83"/>
  <c r="V87"/>
  <c r="V93"/>
  <c r="V111"/>
  <c r="V119"/>
  <c r="V127"/>
  <c r="V131"/>
  <c r="V135"/>
  <c r="V8" i="9"/>
  <c r="V14"/>
  <c r="F86"/>
  <c r="F89"/>
  <c r="F90"/>
  <c r="F92"/>
  <c r="E99"/>
  <c r="E107"/>
  <c r="E115"/>
  <c r="G115" s="1"/>
  <c r="V117"/>
  <c r="F122"/>
  <c r="F130"/>
  <c r="F138"/>
  <c r="E147"/>
  <c r="G147" s="1"/>
  <c r="V149"/>
  <c r="E53"/>
  <c r="G53" s="1"/>
  <c r="A53" s="1"/>
  <c r="E40"/>
  <c r="E28"/>
  <c r="G28" s="1"/>
  <c r="A28" s="1"/>
  <c r="A56" i="2"/>
  <c r="V44"/>
  <c r="V51" i="9"/>
  <c r="V59"/>
  <c r="V80"/>
  <c r="V82"/>
  <c r="V81"/>
  <c r="V87" i="10"/>
  <c r="V89"/>
  <c r="V74" i="9"/>
  <c r="V79"/>
  <c r="V72" i="2"/>
  <c r="V50"/>
  <c r="V38"/>
  <c r="V96"/>
  <c r="V80"/>
  <c r="A5"/>
  <c r="B5" s="1"/>
  <c r="A20"/>
  <c r="V84" i="6"/>
  <c r="V82"/>
  <c r="V80"/>
  <c r="A69"/>
  <c r="A6"/>
  <c r="V26" i="7"/>
  <c r="R63" i="1"/>
  <c r="V57" i="7"/>
  <c r="V61"/>
  <c r="V65"/>
  <c r="V85"/>
  <c r="V89"/>
  <c r="V101"/>
  <c r="V105"/>
  <c r="V109"/>
  <c r="V137"/>
  <c r="V145"/>
  <c r="V149"/>
  <c r="V153"/>
  <c r="V157"/>
  <c r="V161"/>
  <c r="V6" i="9"/>
  <c r="V10"/>
  <c r="V15"/>
  <c r="V22"/>
  <c r="V95"/>
  <c r="F96"/>
  <c r="E97"/>
  <c r="G97" s="1"/>
  <c r="A97" s="1"/>
  <c r="F100"/>
  <c r="V103"/>
  <c r="F104"/>
  <c r="E105"/>
  <c r="F108"/>
  <c r="V111"/>
  <c r="F112"/>
  <c r="E113"/>
  <c r="F116"/>
  <c r="V119"/>
  <c r="E121"/>
  <c r="G121" s="1"/>
  <c r="V123"/>
  <c r="F124"/>
  <c r="E125"/>
  <c r="G125" s="1"/>
  <c r="A125" s="1"/>
  <c r="V127"/>
  <c r="E129"/>
  <c r="V131"/>
  <c r="F132"/>
  <c r="E133"/>
  <c r="G133" s="1"/>
  <c r="A133" s="1"/>
  <c r="V135"/>
  <c r="E137"/>
  <c r="G137" s="1"/>
  <c r="V139"/>
  <c r="F140"/>
  <c r="V143"/>
  <c r="F144"/>
  <c r="E145"/>
  <c r="G145" s="1"/>
  <c r="A145" s="1"/>
  <c r="V151"/>
  <c r="V8" i="10"/>
  <c r="V14"/>
  <c r="V18"/>
  <c r="V88"/>
  <c r="E50" i="9"/>
  <c r="G50" s="1"/>
  <c r="A50" s="1"/>
  <c r="F33"/>
  <c r="K49"/>
  <c r="X3" i="10"/>
  <c r="X1" s="1"/>
  <c r="G12"/>
  <c r="N12" s="1"/>
  <c r="G13"/>
  <c r="G17"/>
  <c r="G99" i="9"/>
  <c r="G129"/>
  <c r="G132"/>
  <c r="G91"/>
  <c r="G116"/>
  <c r="G86"/>
  <c r="G122"/>
  <c r="A122" s="1"/>
  <c r="X3"/>
  <c r="E60" i="7"/>
  <c r="G60" s="1"/>
  <c r="A60" s="1"/>
  <c r="F62"/>
  <c r="E68"/>
  <c r="E113"/>
  <c r="E13" i="9"/>
  <c r="G13" s="1"/>
  <c r="E17"/>
  <c r="G17" s="1"/>
  <c r="F49" i="7"/>
  <c r="E50"/>
  <c r="G50" s="1"/>
  <c r="A50" s="1"/>
  <c r="F60"/>
  <c r="E63"/>
  <c r="G63" s="1"/>
  <c r="A63" s="1"/>
  <c r="F68"/>
  <c r="E69"/>
  <c r="E76"/>
  <c r="E79"/>
  <c r="G96"/>
  <c r="E104"/>
  <c r="G104" s="1"/>
  <c r="A104" s="1"/>
  <c r="F106"/>
  <c r="F113"/>
  <c r="F116"/>
  <c r="E121"/>
  <c r="E124"/>
  <c r="F129"/>
  <c r="F132"/>
  <c r="E133"/>
  <c r="G133" s="1"/>
  <c r="A133" s="1"/>
  <c r="E142"/>
  <c r="G142" s="1"/>
  <c r="A142" s="1"/>
  <c r="E147"/>
  <c r="E150"/>
  <c r="E155"/>
  <c r="E158"/>
  <c r="F12" i="9"/>
  <c r="F13"/>
  <c r="F16"/>
  <c r="F17"/>
  <c r="F26"/>
  <c r="E24"/>
  <c r="G24" s="1"/>
  <c r="A24" s="1"/>
  <c r="F23"/>
  <c r="E19"/>
  <c r="G19" s="1"/>
  <c r="F103" i="7"/>
  <c r="F107"/>
  <c r="F112"/>
  <c r="F120"/>
  <c r="F123"/>
  <c r="F128"/>
  <c r="F139"/>
  <c r="E16" i="9"/>
  <c r="F24"/>
  <c r="F53" i="7"/>
  <c r="E54"/>
  <c r="G54" s="1"/>
  <c r="A54" s="1"/>
  <c r="F59"/>
  <c r="E62"/>
  <c r="G62" s="1"/>
  <c r="E71"/>
  <c r="F72"/>
  <c r="F77"/>
  <c r="F80"/>
  <c r="E91"/>
  <c r="G91" s="1"/>
  <c r="A91" s="1"/>
  <c r="F92"/>
  <c r="F94"/>
  <c r="F95"/>
  <c r="E103"/>
  <c r="G103" s="1"/>
  <c r="E107"/>
  <c r="G107" s="1"/>
  <c r="A107" s="1"/>
  <c r="E112"/>
  <c r="F115"/>
  <c r="E120"/>
  <c r="E123"/>
  <c r="G123" s="1"/>
  <c r="E128"/>
  <c r="G128" s="1"/>
  <c r="A128" s="1"/>
  <c r="F138"/>
  <c r="E139"/>
  <c r="G139" s="1"/>
  <c r="A139" s="1"/>
  <c r="F141"/>
  <c r="F148"/>
  <c r="F151"/>
  <c r="F156"/>
  <c r="F159"/>
  <c r="F19" i="9"/>
  <c r="E49" i="7"/>
  <c r="G49" s="1"/>
  <c r="L49" s="1"/>
  <c r="F54"/>
  <c r="F71"/>
  <c r="F91"/>
  <c r="E106"/>
  <c r="G106" s="1"/>
  <c r="E116"/>
  <c r="E129"/>
  <c r="G129" s="1"/>
  <c r="A129" s="1"/>
  <c r="E132"/>
  <c r="G132" s="1"/>
  <c r="E12" i="9"/>
  <c r="G12" s="1"/>
  <c r="F50" i="7"/>
  <c r="E53"/>
  <c r="G53" s="1"/>
  <c r="E59"/>
  <c r="G59" s="1"/>
  <c r="F63"/>
  <c r="F69"/>
  <c r="E72"/>
  <c r="F76"/>
  <c r="E77"/>
  <c r="F79"/>
  <c r="E80"/>
  <c r="E92"/>
  <c r="G92" s="1"/>
  <c r="E94"/>
  <c r="G94" s="1"/>
  <c r="I94" s="1"/>
  <c r="E95"/>
  <c r="G95" s="1"/>
  <c r="F104"/>
  <c r="E115"/>
  <c r="F121"/>
  <c r="F124"/>
  <c r="F133"/>
  <c r="E138"/>
  <c r="G138" s="1"/>
  <c r="E141"/>
  <c r="G141" s="1"/>
  <c r="F142"/>
  <c r="F147"/>
  <c r="E148"/>
  <c r="F150"/>
  <c r="E151"/>
  <c r="F155"/>
  <c r="E156"/>
  <c r="F158"/>
  <c r="E159"/>
  <c r="F1" i="9"/>
  <c r="E26"/>
  <c r="G26" s="1"/>
  <c r="E23"/>
  <c r="G23" s="1"/>
  <c r="X4"/>
  <c r="X1"/>
  <c r="X91" s="1"/>
  <c r="X92" s="1"/>
  <c r="Y4"/>
  <c r="G18"/>
  <c r="G16"/>
  <c r="Z128" i="7"/>
  <c r="L128"/>
  <c r="I128"/>
  <c r="K128"/>
  <c r="N91"/>
  <c r="A92" s="1"/>
  <c r="F101" i="6"/>
  <c r="F12" i="7"/>
  <c r="F27"/>
  <c r="F105" i="6"/>
  <c r="F111"/>
  <c r="F16" i="7"/>
  <c r="E36"/>
  <c r="F42"/>
  <c r="F1" i="6"/>
  <c r="F102"/>
  <c r="F13" i="7"/>
  <c r="E24"/>
  <c r="E28"/>
  <c r="F104" i="6"/>
  <c r="F110"/>
  <c r="F15" i="7"/>
  <c r="O51" i="1"/>
  <c r="S51" s="1"/>
  <c r="O5" s="1"/>
  <c r="A51" i="6"/>
  <c r="A19" i="2"/>
  <c r="A51"/>
  <c r="V76"/>
  <c r="A72"/>
  <c r="V8"/>
  <c r="V60"/>
  <c r="A31" i="6"/>
  <c r="A22" i="2"/>
  <c r="A38"/>
  <c r="A22" i="6"/>
  <c r="A38"/>
  <c r="A65" i="2"/>
  <c r="A56" i="6"/>
  <c r="A72"/>
  <c r="A31" i="2"/>
  <c r="A65" i="6"/>
  <c r="V35" i="2"/>
  <c r="V69"/>
  <c r="V7"/>
  <c r="V81"/>
  <c r="V83"/>
  <c r="V89"/>
  <c r="V82"/>
  <c r="V5" i="7"/>
  <c r="V5" i="6"/>
  <c r="V5" i="2"/>
  <c r="E37" i="1"/>
  <c r="B37"/>
  <c r="G37"/>
  <c r="S36" s="1"/>
  <c r="V14" i="2"/>
  <c r="V6"/>
  <c r="V42"/>
  <c r="V26"/>
  <c r="V90"/>
  <c r="V88"/>
  <c r="V84"/>
  <c r="V78"/>
  <c r="A75"/>
  <c r="A71"/>
  <c r="A67"/>
  <c r="A63"/>
  <c r="A59"/>
  <c r="A47"/>
  <c r="A43"/>
  <c r="A39"/>
  <c r="A35"/>
  <c r="A27"/>
  <c r="A23"/>
  <c r="A15"/>
  <c r="A11"/>
  <c r="A7"/>
  <c r="V6" i="6"/>
  <c r="V8"/>
  <c r="V10"/>
  <c r="V12"/>
  <c r="V14"/>
  <c r="V16"/>
  <c r="V18"/>
  <c r="V20"/>
  <c r="V22"/>
  <c r="V24"/>
  <c r="V26"/>
  <c r="V28"/>
  <c r="V30"/>
  <c r="V32"/>
  <c r="V34"/>
  <c r="V36"/>
  <c r="V38"/>
  <c r="V40"/>
  <c r="V42"/>
  <c r="V44"/>
  <c r="V46"/>
  <c r="V48"/>
  <c r="V50"/>
  <c r="V52"/>
  <c r="V54"/>
  <c r="V56"/>
  <c r="V58"/>
  <c r="V60"/>
  <c r="V62"/>
  <c r="V64"/>
  <c r="V66"/>
  <c r="V68"/>
  <c r="V70"/>
  <c r="V72"/>
  <c r="V74"/>
  <c r="V76"/>
  <c r="V78"/>
  <c r="V100"/>
  <c r="V101"/>
  <c r="V102"/>
  <c r="V103"/>
  <c r="V104"/>
  <c r="V105"/>
  <c r="V106"/>
  <c r="V107"/>
  <c r="V108"/>
  <c r="V109"/>
  <c r="V110"/>
  <c r="V111"/>
  <c r="V99"/>
  <c r="V98"/>
  <c r="V97"/>
  <c r="V96"/>
  <c r="V95"/>
  <c r="V93"/>
  <c r="V92"/>
  <c r="V91"/>
  <c r="V90"/>
  <c r="V89"/>
  <c r="V88"/>
  <c r="V87"/>
  <c r="V122"/>
  <c r="V121"/>
  <c r="V120"/>
  <c r="V119"/>
  <c r="V118"/>
  <c r="V117"/>
  <c r="V116"/>
  <c r="V115"/>
  <c r="V114"/>
  <c r="V113"/>
  <c r="V112"/>
  <c r="A76"/>
  <c r="A68"/>
  <c r="A60"/>
  <c r="A52"/>
  <c r="A48"/>
  <c r="A44"/>
  <c r="A40"/>
  <c r="A36"/>
  <c r="A32"/>
  <c r="A28"/>
  <c r="A24"/>
  <c r="A17"/>
  <c r="A9"/>
  <c r="V8" i="7"/>
  <c r="V12"/>
  <c r="V13"/>
  <c r="V14"/>
  <c r="V15"/>
  <c r="V16"/>
  <c r="V23"/>
  <c r="F24"/>
  <c r="E25"/>
  <c r="G25" s="1"/>
  <c r="A25" s="1"/>
  <c r="V27"/>
  <c r="F28"/>
  <c r="V31"/>
  <c r="E33"/>
  <c r="V35"/>
  <c r="F36"/>
  <c r="F45"/>
  <c r="V44"/>
  <c r="E42"/>
  <c r="F41"/>
  <c r="V40"/>
  <c r="F37"/>
  <c r="V91" i="2"/>
  <c r="V87"/>
  <c r="V85"/>
  <c r="V79"/>
  <c r="V77"/>
  <c r="A77"/>
  <c r="A73"/>
  <c r="A69"/>
  <c r="A61"/>
  <c r="A57"/>
  <c r="A53"/>
  <c r="A49"/>
  <c r="A45"/>
  <c r="A41"/>
  <c r="A37"/>
  <c r="A33"/>
  <c r="A29"/>
  <c r="A25"/>
  <c r="A17"/>
  <c r="A13"/>
  <c r="A9"/>
  <c r="V7" i="6"/>
  <c r="V9"/>
  <c r="V11"/>
  <c r="V13"/>
  <c r="V15"/>
  <c r="V19"/>
  <c r="V21"/>
  <c r="V23"/>
  <c r="V25"/>
  <c r="V27"/>
  <c r="V29"/>
  <c r="V31"/>
  <c r="V33"/>
  <c r="V35"/>
  <c r="V37"/>
  <c r="V39"/>
  <c r="V41"/>
  <c r="V43"/>
  <c r="V45"/>
  <c r="V47"/>
  <c r="V49"/>
  <c r="V51"/>
  <c r="V53"/>
  <c r="V55"/>
  <c r="V57"/>
  <c r="V59"/>
  <c r="V61"/>
  <c r="V63"/>
  <c r="V65"/>
  <c r="V67"/>
  <c r="V69"/>
  <c r="V71"/>
  <c r="V73"/>
  <c r="V75"/>
  <c r="V77"/>
  <c r="E101"/>
  <c r="E102"/>
  <c r="E104"/>
  <c r="E105"/>
  <c r="E110"/>
  <c r="G110" s="1"/>
  <c r="E111"/>
  <c r="G111" s="1"/>
  <c r="E93"/>
  <c r="E92"/>
  <c r="E90"/>
  <c r="E89"/>
  <c r="G89" s="1"/>
  <c r="V86"/>
  <c r="E121"/>
  <c r="E120"/>
  <c r="G120" s="1"/>
  <c r="E118"/>
  <c r="G118" s="1"/>
  <c r="E117"/>
  <c r="E113"/>
  <c r="G113" s="1"/>
  <c r="I113" s="1"/>
  <c r="A78"/>
  <c r="A74"/>
  <c r="A70"/>
  <c r="A66"/>
  <c r="A62"/>
  <c r="A58"/>
  <c r="A54"/>
  <c r="A50"/>
  <c r="A42"/>
  <c r="A34"/>
  <c r="A26"/>
  <c r="A11"/>
  <c r="A7"/>
  <c r="X3" i="7"/>
  <c r="Y4" s="1"/>
  <c r="V6"/>
  <c r="V10"/>
  <c r="E12"/>
  <c r="G12" s="1"/>
  <c r="E13"/>
  <c r="G13" s="1"/>
  <c r="E15"/>
  <c r="E16"/>
  <c r="G16" s="1"/>
  <c r="V18"/>
  <c r="V19"/>
  <c r="V20"/>
  <c r="V21"/>
  <c r="V25"/>
  <c r="E27"/>
  <c r="G27" s="1"/>
  <c r="V29"/>
  <c r="V33"/>
  <c r="F34"/>
  <c r="V46"/>
  <c r="E44"/>
  <c r="G44" s="1"/>
  <c r="V42"/>
  <c r="V38"/>
  <c r="V13" i="2"/>
  <c r="V11"/>
  <c r="V9"/>
  <c r="V73"/>
  <c r="V71"/>
  <c r="V67"/>
  <c r="V65"/>
  <c r="V63"/>
  <c r="V61"/>
  <c r="V59"/>
  <c r="V57"/>
  <c r="V53"/>
  <c r="V51"/>
  <c r="V49"/>
  <c r="V47"/>
  <c r="V45"/>
  <c r="V43"/>
  <c r="V41"/>
  <c r="V39"/>
  <c r="V37"/>
  <c r="V33"/>
  <c r="V31"/>
  <c r="V29"/>
  <c r="V27"/>
  <c r="V25"/>
  <c r="V23"/>
  <c r="V21"/>
  <c r="V15"/>
  <c r="V75"/>
  <c r="V97"/>
  <c r="V95"/>
  <c r="V93"/>
  <c r="Y93" s="1"/>
  <c r="A78"/>
  <c r="A74"/>
  <c r="A70"/>
  <c r="A66"/>
  <c r="A62"/>
  <c r="A58"/>
  <c r="A54"/>
  <c r="A50"/>
  <c r="A42"/>
  <c r="A34"/>
  <c r="A26"/>
  <c r="A18"/>
  <c r="A14"/>
  <c r="F93" i="6"/>
  <c r="F92"/>
  <c r="F90"/>
  <c r="F89"/>
  <c r="F121"/>
  <c r="F120"/>
  <c r="F118"/>
  <c r="F117"/>
  <c r="F113"/>
  <c r="A79"/>
  <c r="A75"/>
  <c r="A71"/>
  <c r="A67"/>
  <c r="A63"/>
  <c r="A59"/>
  <c r="A47"/>
  <c r="A43"/>
  <c r="A39"/>
  <c r="A35"/>
  <c r="A27"/>
  <c r="A23"/>
  <c r="A12"/>
  <c r="A8"/>
  <c r="F1" i="7"/>
  <c r="V9"/>
  <c r="V24"/>
  <c r="F25"/>
  <c r="V28"/>
  <c r="V32"/>
  <c r="F33"/>
  <c r="E34"/>
  <c r="V36"/>
  <c r="E45"/>
  <c r="F44"/>
  <c r="V43"/>
  <c r="E41"/>
  <c r="G41" s="1"/>
  <c r="V39"/>
  <c r="E37"/>
  <c r="G45"/>
  <c r="A45" s="1"/>
  <c r="G15"/>
  <c r="I15" s="1"/>
  <c r="G121" i="6"/>
  <c r="G117"/>
  <c r="X4" i="7"/>
  <c r="X5" s="1"/>
  <c r="G17"/>
  <c r="B6" i="6"/>
  <c r="X3"/>
  <c r="Y4" s="1"/>
  <c r="F13" i="2"/>
  <c r="F77"/>
  <c r="F75"/>
  <c r="E12" i="6"/>
  <c r="G12" s="1"/>
  <c r="F41"/>
  <c r="F49"/>
  <c r="E53"/>
  <c r="E15" i="2"/>
  <c r="E13"/>
  <c r="F49"/>
  <c r="E34"/>
  <c r="G34" s="1"/>
  <c r="E28"/>
  <c r="G28" s="1"/>
  <c r="E24"/>
  <c r="E43"/>
  <c r="G43" s="1"/>
  <c r="E41"/>
  <c r="G41" s="1"/>
  <c r="E70"/>
  <c r="G70" s="1"/>
  <c r="I70" s="1"/>
  <c r="E68"/>
  <c r="E62"/>
  <c r="G62" s="1"/>
  <c r="E58"/>
  <c r="E52"/>
  <c r="E77"/>
  <c r="E75"/>
  <c r="G75" s="1"/>
  <c r="E74"/>
  <c r="G74" s="1"/>
  <c r="E90"/>
  <c r="E88"/>
  <c r="F12" i="6"/>
  <c r="E13"/>
  <c r="F16"/>
  <c r="E24"/>
  <c r="F27"/>
  <c r="E28"/>
  <c r="G28" s="1"/>
  <c r="E43"/>
  <c r="G43" s="1"/>
  <c r="I43" s="1"/>
  <c r="F53"/>
  <c r="E58"/>
  <c r="F61"/>
  <c r="F68"/>
  <c r="E77"/>
  <c r="G77" s="1"/>
  <c r="I77" s="1"/>
  <c r="F15" i="2"/>
  <c r="F34"/>
  <c r="F28"/>
  <c r="F24"/>
  <c r="F70"/>
  <c r="F74"/>
  <c r="F88"/>
  <c r="F15" i="6"/>
  <c r="F34"/>
  <c r="F75"/>
  <c r="E16" i="2"/>
  <c r="E12"/>
  <c r="G12" s="1"/>
  <c r="Z12" s="1"/>
  <c r="F48"/>
  <c r="E33"/>
  <c r="G33" s="1"/>
  <c r="I33" s="1"/>
  <c r="E27"/>
  <c r="G27" s="1"/>
  <c r="I27" s="1"/>
  <c r="E25"/>
  <c r="E40"/>
  <c r="G40" s="1"/>
  <c r="E36"/>
  <c r="G36" s="1"/>
  <c r="I36" s="1"/>
  <c r="E67"/>
  <c r="G67" s="1"/>
  <c r="I67" s="1"/>
  <c r="E61"/>
  <c r="E59"/>
  <c r="E53"/>
  <c r="E91"/>
  <c r="E87"/>
  <c r="N36" i="1"/>
  <c r="E15" i="6"/>
  <c r="F25"/>
  <c r="F33"/>
  <c r="E34"/>
  <c r="G34" s="1"/>
  <c r="F36"/>
  <c r="F40"/>
  <c r="E41"/>
  <c r="G41" s="1"/>
  <c r="F48"/>
  <c r="E49"/>
  <c r="F52"/>
  <c r="F59"/>
  <c r="F62"/>
  <c r="E67"/>
  <c r="G67" s="1"/>
  <c r="I67" s="1"/>
  <c r="F70"/>
  <c r="F74"/>
  <c r="E75"/>
  <c r="G75" s="1"/>
  <c r="G104"/>
  <c r="E48" i="2"/>
  <c r="G48" s="1"/>
  <c r="F43"/>
  <c r="F41"/>
  <c r="F68"/>
  <c r="F62"/>
  <c r="F58"/>
  <c r="F52"/>
  <c r="F90"/>
  <c r="E16" i="6"/>
  <c r="E27"/>
  <c r="G27" s="1"/>
  <c r="I27" s="1"/>
  <c r="E61"/>
  <c r="F67"/>
  <c r="E68"/>
  <c r="G68" s="1"/>
  <c r="F16" i="2"/>
  <c r="F12"/>
  <c r="E49"/>
  <c r="F33"/>
  <c r="F27"/>
  <c r="F25"/>
  <c r="F40"/>
  <c r="F36"/>
  <c r="F67"/>
  <c r="F61"/>
  <c r="F59"/>
  <c r="F53"/>
  <c r="F91"/>
  <c r="F87"/>
  <c r="F13" i="6"/>
  <c r="F24"/>
  <c r="E25"/>
  <c r="F28"/>
  <c r="E33"/>
  <c r="G33" s="1"/>
  <c r="I33" s="1"/>
  <c r="E36"/>
  <c r="G36" s="1"/>
  <c r="I36" s="1"/>
  <c r="E40"/>
  <c r="G40" s="1"/>
  <c r="F43"/>
  <c r="E48"/>
  <c r="G48" s="1"/>
  <c r="E52"/>
  <c r="F58"/>
  <c r="E59"/>
  <c r="E62"/>
  <c r="G62" s="1"/>
  <c r="E70"/>
  <c r="G70" s="1"/>
  <c r="I70" s="1"/>
  <c r="E74"/>
  <c r="G74" s="1"/>
  <c r="I74" s="1"/>
  <c r="G105"/>
  <c r="G112" i="2"/>
  <c r="G105"/>
  <c r="G104"/>
  <c r="G107"/>
  <c r="G106"/>
  <c r="G68"/>
  <c r="G111"/>
  <c r="G110"/>
  <c r="G108"/>
  <c r="G103"/>
  <c r="G102"/>
  <c r="G101"/>
  <c r="G109"/>
  <c r="G100"/>
  <c r="G77"/>
  <c r="G87"/>
  <c r="K87" s="1"/>
  <c r="K37" i="1"/>
  <c r="F37"/>
  <c r="R36" s="1"/>
  <c r="C37"/>
  <c r="O36" s="1"/>
  <c r="H37"/>
  <c r="D37"/>
  <c r="P36" s="1"/>
  <c r="Y4" i="2"/>
  <c r="Q51" i="1"/>
  <c r="K34"/>
  <c r="R34"/>
  <c r="N39"/>
  <c r="E10"/>
  <c r="H10"/>
  <c r="D10"/>
  <c r="C10"/>
  <c r="F10"/>
  <c r="N43"/>
  <c r="X4" i="2"/>
  <c r="X5" s="1"/>
  <c r="X1"/>
  <c r="X17" s="1"/>
  <c r="Y18" s="1"/>
  <c r="O38" i="1"/>
  <c r="B47"/>
  <c r="N41"/>
  <c r="E65"/>
  <c r="Q35"/>
  <c r="N42"/>
  <c r="F42"/>
  <c r="E45"/>
  <c r="K36"/>
  <c r="G46"/>
  <c r="E43"/>
  <c r="D42"/>
  <c r="F46"/>
  <c r="E47"/>
  <c r="D41"/>
  <c r="P39" s="1"/>
  <c r="G42"/>
  <c r="C46"/>
  <c r="Q45" s="1"/>
  <c r="H47"/>
  <c r="C47"/>
  <c r="K41"/>
  <c r="G47"/>
  <c r="H41"/>
  <c r="T39" s="1"/>
  <c r="H42"/>
  <c r="C42"/>
  <c r="E46"/>
  <c r="D47"/>
  <c r="K45"/>
  <c r="C44"/>
  <c r="O42" s="1"/>
  <c r="G41"/>
  <c r="S39" s="1"/>
  <c r="H45"/>
  <c r="T43" s="1"/>
  <c r="D45"/>
  <c r="P43" s="1"/>
  <c r="F44"/>
  <c r="R42" s="1"/>
  <c r="H43"/>
  <c r="D43"/>
  <c r="P41" s="1"/>
  <c r="E48"/>
  <c r="K48"/>
  <c r="K44"/>
  <c r="K40"/>
  <c r="G44"/>
  <c r="S42" s="1"/>
  <c r="C41"/>
  <c r="O39" s="1"/>
  <c r="E41"/>
  <c r="F45"/>
  <c r="R43" s="1"/>
  <c r="H44"/>
  <c r="D44"/>
  <c r="P42" s="1"/>
  <c r="F43"/>
  <c r="R41" s="1"/>
  <c r="G48"/>
  <c r="C48"/>
  <c r="K46"/>
  <c r="K42"/>
  <c r="K38"/>
  <c r="F48"/>
  <c r="F41"/>
  <c r="R39" s="1"/>
  <c r="G45"/>
  <c r="S43" s="1"/>
  <c r="C45"/>
  <c r="O43" s="1"/>
  <c r="E44"/>
  <c r="G43"/>
  <c r="S41" s="1"/>
  <c r="C43"/>
  <c r="O41" s="1"/>
  <c r="E42"/>
  <c r="H46"/>
  <c r="D46"/>
  <c r="D48"/>
  <c r="F47"/>
  <c r="H48"/>
  <c r="K43"/>
  <c r="K39"/>
  <c r="G34"/>
  <c r="H40"/>
  <c r="D40"/>
  <c r="P38" s="1"/>
  <c r="F39"/>
  <c r="R37" s="1"/>
  <c r="H38"/>
  <c r="D38"/>
  <c r="F36"/>
  <c r="R35" s="1"/>
  <c r="B39"/>
  <c r="N37" s="1"/>
  <c r="B34"/>
  <c r="B35" s="1"/>
  <c r="H34"/>
  <c r="H35" s="1"/>
  <c r="D34"/>
  <c r="E40"/>
  <c r="G39"/>
  <c r="S37" s="1"/>
  <c r="C39"/>
  <c r="O37" s="1"/>
  <c r="E38"/>
  <c r="G36"/>
  <c r="S35" s="1"/>
  <c r="C36"/>
  <c r="O35" s="1"/>
  <c r="B40"/>
  <c r="N38" s="1"/>
  <c r="C34"/>
  <c r="E34"/>
  <c r="F40"/>
  <c r="R38" s="1"/>
  <c r="H39"/>
  <c r="D39"/>
  <c r="P37" s="1"/>
  <c r="F38"/>
  <c r="H36"/>
  <c r="D36"/>
  <c r="P35" s="1"/>
  <c r="B36"/>
  <c r="N35" s="1"/>
  <c r="G40"/>
  <c r="S38" s="1"/>
  <c r="G38"/>
  <c r="C38"/>
  <c r="N113" i="13" l="1"/>
  <c r="A113"/>
  <c r="K104"/>
  <c r="Z104"/>
  <c r="Z86"/>
  <c r="K86"/>
  <c r="K97"/>
  <c r="Z97"/>
  <c r="Z121"/>
  <c r="K121"/>
  <c r="Z146"/>
  <c r="K146"/>
  <c r="Z129"/>
  <c r="K129"/>
  <c r="N87"/>
  <c r="A87"/>
  <c r="A139"/>
  <c r="N139"/>
  <c r="Z138"/>
  <c r="K138"/>
  <c r="Z113"/>
  <c r="K113"/>
  <c r="Z154"/>
  <c r="K154"/>
  <c r="K78"/>
  <c r="Z78"/>
  <c r="K69"/>
  <c r="Z69"/>
  <c r="A62"/>
  <c r="N62"/>
  <c r="K45"/>
  <c r="Z45"/>
  <c r="Z61"/>
  <c r="K61"/>
  <c r="Z52"/>
  <c r="K52"/>
  <c r="A38"/>
  <c r="N38"/>
  <c r="Z36"/>
  <c r="K36"/>
  <c r="Z27"/>
  <c r="K27"/>
  <c r="Z19"/>
  <c r="K19"/>
  <c r="K9"/>
  <c r="Z9"/>
  <c r="A10"/>
  <c r="N10"/>
  <c r="AA6"/>
  <c r="B7"/>
  <c r="X6"/>
  <c r="Y6"/>
  <c r="K103" i="12"/>
  <c r="Z104" s="1"/>
  <c r="A93"/>
  <c r="N93"/>
  <c r="Z130"/>
  <c r="K130"/>
  <c r="Z148"/>
  <c r="K148"/>
  <c r="Z92"/>
  <c r="K92"/>
  <c r="Z139"/>
  <c r="K139"/>
  <c r="K157"/>
  <c r="Z157"/>
  <c r="Z121"/>
  <c r="K121"/>
  <c r="Z112"/>
  <c r="K112"/>
  <c r="Z167"/>
  <c r="K167"/>
  <c r="A122"/>
  <c r="N122"/>
  <c r="N150"/>
  <c r="A150"/>
  <c r="X6"/>
  <c r="Y7" s="1"/>
  <c r="F84"/>
  <c r="F75"/>
  <c r="E57"/>
  <c r="G57" s="1"/>
  <c r="A57" s="1"/>
  <c r="E48"/>
  <c r="E38"/>
  <c r="E21"/>
  <c r="G21" s="1"/>
  <c r="A21" s="1"/>
  <c r="F9"/>
  <c r="G9" s="1"/>
  <c r="R9" s="1"/>
  <c r="F157" i="11"/>
  <c r="G157" s="1"/>
  <c r="A157" s="1"/>
  <c r="F149"/>
  <c r="G149" s="1"/>
  <c r="A149" s="1"/>
  <c r="E140"/>
  <c r="G140" s="1"/>
  <c r="A140" s="1"/>
  <c r="E105"/>
  <c r="G105" s="1"/>
  <c r="A105" s="1"/>
  <c r="F57" i="12"/>
  <c r="F48"/>
  <c r="F38"/>
  <c r="G38" s="1"/>
  <c r="R38" s="1"/>
  <c r="R39" s="1"/>
  <c r="R40" s="1"/>
  <c r="E30"/>
  <c r="G30" s="1"/>
  <c r="A30" s="1"/>
  <c r="F21"/>
  <c r="F140" i="11"/>
  <c r="E122"/>
  <c r="E114"/>
  <c r="F105"/>
  <c r="E78"/>
  <c r="E65" i="12"/>
  <c r="G65" s="1"/>
  <c r="R65" s="1"/>
  <c r="R66" s="1"/>
  <c r="R67" s="1"/>
  <c r="F30"/>
  <c r="E130" i="11"/>
  <c r="G130" s="1"/>
  <c r="F122"/>
  <c r="G122" s="1"/>
  <c r="A122" s="1"/>
  <c r="F114"/>
  <c r="G114" s="1"/>
  <c r="A114" s="1"/>
  <c r="E93"/>
  <c r="G93" s="1"/>
  <c r="R93" s="1"/>
  <c r="R94" s="1"/>
  <c r="R95" s="1"/>
  <c r="E86"/>
  <c r="G86" s="1"/>
  <c r="E85"/>
  <c r="G85" s="1"/>
  <c r="E84"/>
  <c r="G84" s="1"/>
  <c r="F78"/>
  <c r="G78" s="1"/>
  <c r="A78" s="1"/>
  <c r="E61"/>
  <c r="G61" s="1"/>
  <c r="A61" s="1"/>
  <c r="E51"/>
  <c r="G51" s="1"/>
  <c r="E84" i="12"/>
  <c r="G84" s="1"/>
  <c r="A84" s="1"/>
  <c r="E75"/>
  <c r="G75" s="1"/>
  <c r="A75" s="1"/>
  <c r="F65"/>
  <c r="E9"/>
  <c r="E157" i="11"/>
  <c r="E149"/>
  <c r="F130"/>
  <c r="F93"/>
  <c r="E87"/>
  <c r="G87" s="1"/>
  <c r="F86"/>
  <c r="F85"/>
  <c r="F84"/>
  <c r="E70"/>
  <c r="F61"/>
  <c r="F51"/>
  <c r="F87"/>
  <c r="F70"/>
  <c r="G70" s="1"/>
  <c r="A70" s="1"/>
  <c r="F152" i="10"/>
  <c r="G152" s="1"/>
  <c r="A152" s="1"/>
  <c r="E133"/>
  <c r="G133" s="1"/>
  <c r="F107"/>
  <c r="E95"/>
  <c r="G95" s="1"/>
  <c r="R95" s="1"/>
  <c r="R96" s="1"/>
  <c r="R97" s="1"/>
  <c r="R98" s="1"/>
  <c r="F52"/>
  <c r="F62"/>
  <c r="F133"/>
  <c r="E124"/>
  <c r="E116"/>
  <c r="F95"/>
  <c r="F43" i="11"/>
  <c r="G43" s="1"/>
  <c r="A43" s="1"/>
  <c r="F35" i="10"/>
  <c r="G35" s="1"/>
  <c r="A35" s="1"/>
  <c r="E52"/>
  <c r="G52" s="1"/>
  <c r="E62"/>
  <c r="G62" s="1"/>
  <c r="A62" s="1"/>
  <c r="F71"/>
  <c r="G71" s="1"/>
  <c r="A71" s="1"/>
  <c r="E160"/>
  <c r="E143"/>
  <c r="G143" s="1"/>
  <c r="A143" s="1"/>
  <c r="F124"/>
  <c r="G124" s="1"/>
  <c r="A124" s="1"/>
  <c r="F116"/>
  <c r="G116" s="1"/>
  <c r="A116" s="1"/>
  <c r="F26" i="11"/>
  <c r="F35"/>
  <c r="G35" s="1"/>
  <c r="A35" s="1"/>
  <c r="E43"/>
  <c r="E14"/>
  <c r="G14" s="1"/>
  <c r="R14" s="1"/>
  <c r="R15" s="1"/>
  <c r="R16" s="1"/>
  <c r="E8"/>
  <c r="G8" s="1"/>
  <c r="E7"/>
  <c r="G7" s="1"/>
  <c r="E6"/>
  <c r="G6" s="1"/>
  <c r="F26" i="10"/>
  <c r="E35"/>
  <c r="F43"/>
  <c r="G43" s="1"/>
  <c r="A43" s="1"/>
  <c r="E71"/>
  <c r="F79"/>
  <c r="G79" s="1"/>
  <c r="A79" s="1"/>
  <c r="F160"/>
  <c r="G160" s="1"/>
  <c r="A160" s="1"/>
  <c r="E152"/>
  <c r="F143"/>
  <c r="E107"/>
  <c r="G107" s="1"/>
  <c r="A107" s="1"/>
  <c r="E26" i="11"/>
  <c r="G26" s="1"/>
  <c r="A26" s="1"/>
  <c r="E35"/>
  <c r="F14"/>
  <c r="F8"/>
  <c r="F7"/>
  <c r="F6"/>
  <c r="E26" i="10"/>
  <c r="G26" s="1"/>
  <c r="A26" s="1"/>
  <c r="E43"/>
  <c r="E79"/>
  <c r="I19" i="11"/>
  <c r="O19"/>
  <c r="A53"/>
  <c r="I53"/>
  <c r="I54" s="1"/>
  <c r="A31" i="12"/>
  <c r="I31"/>
  <c r="I32" s="1"/>
  <c r="N64"/>
  <c r="A64"/>
  <c r="I132" i="11"/>
  <c r="I133" s="1"/>
  <c r="A132"/>
  <c r="Z128"/>
  <c r="L128"/>
  <c r="L129" s="1"/>
  <c r="L130" s="1"/>
  <c r="A128"/>
  <c r="K128"/>
  <c r="I128"/>
  <c r="I129" s="1"/>
  <c r="I19" i="12"/>
  <c r="I20" s="1"/>
  <c r="A19"/>
  <c r="A58"/>
  <c r="I58"/>
  <c r="I59" s="1"/>
  <c r="A76"/>
  <c r="I76"/>
  <c r="I77" s="1"/>
  <c r="A124" i="11"/>
  <c r="O124"/>
  <c r="L52" i="10"/>
  <c r="G114"/>
  <c r="G115"/>
  <c r="A115" s="1"/>
  <c r="G72"/>
  <c r="G42" i="11"/>
  <c r="A42" s="1"/>
  <c r="G42" i="10"/>
  <c r="A42" s="1"/>
  <c r="G70"/>
  <c r="A70" s="1"/>
  <c r="G80"/>
  <c r="G69" i="11"/>
  <c r="A69" s="1"/>
  <c r="I67" i="12"/>
  <c r="G77" i="11"/>
  <c r="A77" s="1"/>
  <c r="G151"/>
  <c r="A151" s="1"/>
  <c r="G120"/>
  <c r="G147"/>
  <c r="G158"/>
  <c r="G148"/>
  <c r="A148" s="1"/>
  <c r="G10" i="12"/>
  <c r="I10" s="1"/>
  <c r="G36"/>
  <c r="G47"/>
  <c r="A47" s="1"/>
  <c r="G151" i="10"/>
  <c r="A151" s="1"/>
  <c r="G33" i="11"/>
  <c r="G77" i="10"/>
  <c r="E88" i="12"/>
  <c r="G88" s="1"/>
  <c r="K88" s="1"/>
  <c r="Z89" s="1"/>
  <c r="F43"/>
  <c r="E16"/>
  <c r="E135" i="11"/>
  <c r="G135" s="1"/>
  <c r="F109"/>
  <c r="G109" s="1"/>
  <c r="E100"/>
  <c r="G100" s="1"/>
  <c r="I100" s="1"/>
  <c r="F89"/>
  <c r="E82"/>
  <c r="G82" s="1"/>
  <c r="F56"/>
  <c r="F88" i="12"/>
  <c r="E70"/>
  <c r="G70" s="1"/>
  <c r="I70" s="1"/>
  <c r="F61"/>
  <c r="E34"/>
  <c r="G34" s="1"/>
  <c r="F16"/>
  <c r="G16" s="1"/>
  <c r="I16" s="1"/>
  <c r="F135" i="11"/>
  <c r="F100"/>
  <c r="F82"/>
  <c r="E65"/>
  <c r="G65" s="1"/>
  <c r="F47"/>
  <c r="E79" i="12"/>
  <c r="G79" s="1"/>
  <c r="F70"/>
  <c r="E61"/>
  <c r="G61" s="1"/>
  <c r="E52"/>
  <c r="F34"/>
  <c r="E25"/>
  <c r="G25" s="1"/>
  <c r="E144" i="11"/>
  <c r="G144" s="1"/>
  <c r="E126"/>
  <c r="G126" s="1"/>
  <c r="F65"/>
  <c r="E47"/>
  <c r="G47" s="1"/>
  <c r="F79" i="12"/>
  <c r="F52"/>
  <c r="G52" s="1"/>
  <c r="E43"/>
  <c r="G43" s="1"/>
  <c r="I43" s="1"/>
  <c r="F25"/>
  <c r="F144" i="11"/>
  <c r="F126"/>
  <c r="E109"/>
  <c r="E89"/>
  <c r="G89" s="1"/>
  <c r="E56"/>
  <c r="G56" s="1"/>
  <c r="F129" i="10"/>
  <c r="F21" i="11"/>
  <c r="E30"/>
  <c r="F48" i="10"/>
  <c r="E84"/>
  <c r="G84" s="1"/>
  <c r="E21" i="11"/>
  <c r="G21" s="1"/>
  <c r="I21" s="1"/>
  <c r="E21" i="10"/>
  <c r="G21" s="1"/>
  <c r="I21" s="1"/>
  <c r="E48"/>
  <c r="G48" s="1"/>
  <c r="F57"/>
  <c r="E165"/>
  <c r="G165" s="1"/>
  <c r="E138"/>
  <c r="G138" s="1"/>
  <c r="E102"/>
  <c r="G102" s="1"/>
  <c r="I102" s="1"/>
  <c r="E10" i="11"/>
  <c r="G10" s="1"/>
  <c r="F21" i="10"/>
  <c r="E57"/>
  <c r="G57" s="1"/>
  <c r="F165"/>
  <c r="F138"/>
  <c r="E129"/>
  <c r="G129" s="1"/>
  <c r="F102"/>
  <c r="F30" i="11"/>
  <c r="G30" s="1"/>
  <c r="F10"/>
  <c r="F84" i="10"/>
  <c r="E161" i="11"/>
  <c r="G161" s="1"/>
  <c r="F161"/>
  <c r="F72" i="12"/>
  <c r="F62"/>
  <c r="E54"/>
  <c r="E45"/>
  <c r="E27"/>
  <c r="G27" s="1"/>
  <c r="F154" i="11"/>
  <c r="G154" s="1"/>
  <c r="E146"/>
  <c r="G146" s="1"/>
  <c r="F102"/>
  <c r="F90"/>
  <c r="F75"/>
  <c r="G75" s="1"/>
  <c r="F54" i="12"/>
  <c r="F45"/>
  <c r="E35"/>
  <c r="G35" s="1"/>
  <c r="A35" s="1"/>
  <c r="F27"/>
  <c r="E6"/>
  <c r="F146" i="11"/>
  <c r="E119"/>
  <c r="E83"/>
  <c r="G83" s="1"/>
  <c r="E81" i="12"/>
  <c r="G81" s="1"/>
  <c r="F35"/>
  <c r="E18"/>
  <c r="G18" s="1"/>
  <c r="F6"/>
  <c r="G6" s="1"/>
  <c r="E137" i="11"/>
  <c r="G137" s="1"/>
  <c r="E127"/>
  <c r="G127" s="1"/>
  <c r="F119"/>
  <c r="G119" s="1"/>
  <c r="E111"/>
  <c r="F83"/>
  <c r="E58"/>
  <c r="G58" s="1"/>
  <c r="F81" i="12"/>
  <c r="E72"/>
  <c r="G72" s="1"/>
  <c r="E62"/>
  <c r="G62" s="1"/>
  <c r="A62" s="1"/>
  <c r="F18"/>
  <c r="E154" i="11"/>
  <c r="F137"/>
  <c r="F127"/>
  <c r="F111"/>
  <c r="G111" s="1"/>
  <c r="E102"/>
  <c r="G102" s="1"/>
  <c r="E90"/>
  <c r="G90" s="1"/>
  <c r="E75"/>
  <c r="E67"/>
  <c r="G67" s="1"/>
  <c r="F58"/>
  <c r="E48"/>
  <c r="G48" s="1"/>
  <c r="F67"/>
  <c r="F48"/>
  <c r="E157" i="10"/>
  <c r="F149"/>
  <c r="F140"/>
  <c r="F130"/>
  <c r="F121"/>
  <c r="G121" s="1"/>
  <c r="F113"/>
  <c r="G113" s="1"/>
  <c r="F104"/>
  <c r="F23" i="11"/>
  <c r="E32"/>
  <c r="F40"/>
  <c r="G40" s="1"/>
  <c r="E23" i="10"/>
  <c r="G23" s="1"/>
  <c r="E40"/>
  <c r="E59"/>
  <c r="G59" s="1"/>
  <c r="E68"/>
  <c r="G68" s="1"/>
  <c r="F76"/>
  <c r="G76" s="1"/>
  <c r="F157"/>
  <c r="G157" s="1"/>
  <c r="E23" i="11"/>
  <c r="G23" s="1"/>
  <c r="E40"/>
  <c r="E76" i="10"/>
  <c r="E92"/>
  <c r="G92" s="1"/>
  <c r="E11" i="11"/>
  <c r="G11" s="1"/>
  <c r="F32" i="10"/>
  <c r="G32" s="1"/>
  <c r="F49"/>
  <c r="E149"/>
  <c r="G149" s="1"/>
  <c r="E140"/>
  <c r="G140" s="1"/>
  <c r="E130"/>
  <c r="G130" s="1"/>
  <c r="E121"/>
  <c r="E113"/>
  <c r="E104"/>
  <c r="G104" s="1"/>
  <c r="F92"/>
  <c r="F32" i="11"/>
  <c r="G32" s="1"/>
  <c r="F11"/>
  <c r="F23" i="10"/>
  <c r="E32"/>
  <c r="F40"/>
  <c r="G40" s="1"/>
  <c r="E49"/>
  <c r="G49" s="1"/>
  <c r="F59"/>
  <c r="F68"/>
  <c r="Q36" i="1"/>
  <c r="E67" s="1"/>
  <c r="I24" i="11"/>
  <c r="I25" s="1"/>
  <c r="A24"/>
  <c r="I62"/>
  <c r="I63" s="1"/>
  <c r="A62"/>
  <c r="A103"/>
  <c r="I103"/>
  <c r="I104" s="1"/>
  <c r="A8" i="12"/>
  <c r="O8"/>
  <c r="O9" s="1"/>
  <c r="O10" s="1"/>
  <c r="N8"/>
  <c r="A82"/>
  <c r="I82"/>
  <c r="I83" s="1"/>
  <c r="L95" i="10"/>
  <c r="L96" s="1"/>
  <c r="L97" s="1"/>
  <c r="L98" s="1"/>
  <c r="G158"/>
  <c r="G37"/>
  <c r="A37" s="1"/>
  <c r="G153"/>
  <c r="G34"/>
  <c r="A34" s="1"/>
  <c r="G123"/>
  <c r="A123" s="1"/>
  <c r="G41"/>
  <c r="G69"/>
  <c r="G78"/>
  <c r="A78" s="1"/>
  <c r="G79" i="11"/>
  <c r="G116"/>
  <c r="A116" s="1"/>
  <c r="G7" i="12"/>
  <c r="G76" i="11"/>
  <c r="G113"/>
  <c r="A113" s="1"/>
  <c r="G14" i="12"/>
  <c r="G46"/>
  <c r="G118" i="10"/>
  <c r="A118" s="1"/>
  <c r="G41" i="11"/>
  <c r="F98" i="10"/>
  <c r="E98"/>
  <c r="F53" i="12"/>
  <c r="G53" s="1"/>
  <c r="F44"/>
  <c r="G44" s="1"/>
  <c r="Q44" s="1"/>
  <c r="E26"/>
  <c r="G26" s="1"/>
  <c r="F153" i="11"/>
  <c r="G153" s="1"/>
  <c r="E145"/>
  <c r="G145" s="1"/>
  <c r="A145" s="1"/>
  <c r="E136"/>
  <c r="G136" s="1"/>
  <c r="F101"/>
  <c r="F26" i="12"/>
  <c r="E17"/>
  <c r="F145" i="11"/>
  <c r="F136"/>
  <c r="E118"/>
  <c r="F74"/>
  <c r="G74" s="1"/>
  <c r="E66"/>
  <c r="G66" s="1"/>
  <c r="A66" s="1"/>
  <c r="E80" i="12"/>
  <c r="G80" s="1"/>
  <c r="E71"/>
  <c r="G71" s="1"/>
  <c r="Q71" s="1"/>
  <c r="Q72" s="1"/>
  <c r="Q73" s="1"/>
  <c r="Q74" s="1"/>
  <c r="Q75" s="1"/>
  <c r="Q76" s="1"/>
  <c r="Q77" s="1"/>
  <c r="F17"/>
  <c r="G17" s="1"/>
  <c r="Q17" s="1"/>
  <c r="Q18" s="1"/>
  <c r="Q19" s="1"/>
  <c r="Q20" s="1"/>
  <c r="Q21" s="1"/>
  <c r="Q22" s="1"/>
  <c r="Q23" s="1"/>
  <c r="F118" i="11"/>
  <c r="G118" s="1"/>
  <c r="E110"/>
  <c r="F66"/>
  <c r="E57"/>
  <c r="G57" s="1"/>
  <c r="F80" i="12"/>
  <c r="F71"/>
  <c r="E53"/>
  <c r="E44"/>
  <c r="E153" i="11"/>
  <c r="F110"/>
  <c r="G110" s="1"/>
  <c r="A110" s="1"/>
  <c r="E101"/>
  <c r="G101" s="1"/>
  <c r="F57"/>
  <c r="E74"/>
  <c r="E156" i="10"/>
  <c r="F22" i="11"/>
  <c r="E31"/>
  <c r="F39"/>
  <c r="G39" s="1"/>
  <c r="E22" i="10"/>
  <c r="G22" s="1"/>
  <c r="E39"/>
  <c r="E58"/>
  <c r="G58" s="1"/>
  <c r="F67"/>
  <c r="F156"/>
  <c r="G156" s="1"/>
  <c r="E22" i="11"/>
  <c r="G22" s="1"/>
  <c r="Q22" s="1"/>
  <c r="Q23" s="1"/>
  <c r="Q24" s="1"/>
  <c r="Q25" s="1"/>
  <c r="Q26" s="1"/>
  <c r="Q27" s="1"/>
  <c r="Q28" s="1"/>
  <c r="E39"/>
  <c r="E67" i="10"/>
  <c r="G67" s="1"/>
  <c r="A67" s="1"/>
  <c r="F75"/>
  <c r="G75" s="1"/>
  <c r="E148"/>
  <c r="G148" s="1"/>
  <c r="A148" s="1"/>
  <c r="E139"/>
  <c r="G139" s="1"/>
  <c r="E120"/>
  <c r="E112"/>
  <c r="E103"/>
  <c r="G103" s="1"/>
  <c r="F31"/>
  <c r="G31" s="1"/>
  <c r="A31" s="1"/>
  <c r="E75"/>
  <c r="F148"/>
  <c r="F139"/>
  <c r="F120"/>
  <c r="G120" s="1"/>
  <c r="F112"/>
  <c r="G112" s="1"/>
  <c r="A112" s="1"/>
  <c r="F103"/>
  <c r="F31" i="11"/>
  <c r="G31" s="1"/>
  <c r="A31" s="1"/>
  <c r="F22" i="10"/>
  <c r="E31"/>
  <c r="F39"/>
  <c r="G39" s="1"/>
  <c r="F58"/>
  <c r="E87" i="12"/>
  <c r="G87" s="1"/>
  <c r="A87" s="1"/>
  <c r="F42"/>
  <c r="E15"/>
  <c r="F117" i="11"/>
  <c r="G117" s="1"/>
  <c r="A117" s="1"/>
  <c r="F108"/>
  <c r="E99"/>
  <c r="G99" s="1"/>
  <c r="F73"/>
  <c r="G73" s="1"/>
  <c r="A73" s="1"/>
  <c r="E55"/>
  <c r="G55" s="1"/>
  <c r="A55" s="1"/>
  <c r="F87" i="12"/>
  <c r="E78"/>
  <c r="G78" s="1"/>
  <c r="A78" s="1"/>
  <c r="E69"/>
  <c r="G69" s="1"/>
  <c r="E60"/>
  <c r="G60" s="1"/>
  <c r="A60" s="1"/>
  <c r="E51"/>
  <c r="E33"/>
  <c r="G33" s="1"/>
  <c r="A33" s="1"/>
  <c r="E24"/>
  <c r="G24" s="1"/>
  <c r="A24" s="1"/>
  <c r="F15"/>
  <c r="E160" i="11"/>
  <c r="G160" s="1"/>
  <c r="A160" s="1"/>
  <c r="E125"/>
  <c r="G125" s="1"/>
  <c r="A125" s="1"/>
  <c r="F99"/>
  <c r="E88"/>
  <c r="G88" s="1"/>
  <c r="E81"/>
  <c r="G81" s="1"/>
  <c r="A81" s="1"/>
  <c r="E64"/>
  <c r="G64" s="1"/>
  <c r="A64" s="1"/>
  <c r="F78" i="12"/>
  <c r="F69"/>
  <c r="F60"/>
  <c r="F51"/>
  <c r="G51" s="1"/>
  <c r="A51" s="1"/>
  <c r="F33"/>
  <c r="F24"/>
  <c r="F160" i="11"/>
  <c r="E152"/>
  <c r="E143"/>
  <c r="G143" s="1"/>
  <c r="A143" s="1"/>
  <c r="E134"/>
  <c r="G134" s="1"/>
  <c r="A134" s="1"/>
  <c r="F125"/>
  <c r="F88"/>
  <c r="F81"/>
  <c r="F64"/>
  <c r="F46"/>
  <c r="F55"/>
  <c r="E42" i="12"/>
  <c r="G42" s="1"/>
  <c r="F152" i="11"/>
  <c r="G152" s="1"/>
  <c r="A152" s="1"/>
  <c r="F143"/>
  <c r="F134"/>
  <c r="E117"/>
  <c r="E108"/>
  <c r="G108" s="1"/>
  <c r="A108" s="1"/>
  <c r="E73"/>
  <c r="E46"/>
  <c r="G46" s="1"/>
  <c r="A46" s="1"/>
  <c r="E155" i="10"/>
  <c r="F128"/>
  <c r="F20" i="11"/>
  <c r="E29"/>
  <c r="G29" s="1"/>
  <c r="A29" s="1"/>
  <c r="F38"/>
  <c r="G38" s="1"/>
  <c r="A38" s="1"/>
  <c r="E30" i="10"/>
  <c r="F38"/>
  <c r="G38" s="1"/>
  <c r="A38" s="1"/>
  <c r="F66"/>
  <c r="F83"/>
  <c r="F155"/>
  <c r="G155" s="1"/>
  <c r="A155" s="1"/>
  <c r="E147"/>
  <c r="G147" s="1"/>
  <c r="E137"/>
  <c r="G137" s="1"/>
  <c r="A137" s="1"/>
  <c r="E111"/>
  <c r="E101"/>
  <c r="G101" s="1"/>
  <c r="E20" i="11"/>
  <c r="G20" s="1"/>
  <c r="E38"/>
  <c r="E38" i="10"/>
  <c r="F47"/>
  <c r="F56"/>
  <c r="E66"/>
  <c r="G66" s="1"/>
  <c r="F74"/>
  <c r="G74" s="1"/>
  <c r="A74" s="1"/>
  <c r="E83"/>
  <c r="G83" s="1"/>
  <c r="A83" s="1"/>
  <c r="E20"/>
  <c r="G20" s="1"/>
  <c r="E164"/>
  <c r="G164" s="1"/>
  <c r="A164" s="1"/>
  <c r="F147"/>
  <c r="F137"/>
  <c r="E119"/>
  <c r="F111"/>
  <c r="G111" s="1"/>
  <c r="F101"/>
  <c r="E9" i="11"/>
  <c r="G9" s="1"/>
  <c r="E47" i="10"/>
  <c r="G47" s="1"/>
  <c r="A47" s="1"/>
  <c r="E56"/>
  <c r="G56" s="1"/>
  <c r="A56" s="1"/>
  <c r="E74"/>
  <c r="F20"/>
  <c r="F164"/>
  <c r="E128"/>
  <c r="G128" s="1"/>
  <c r="A128" s="1"/>
  <c r="F119"/>
  <c r="G119" s="1"/>
  <c r="A119" s="1"/>
  <c r="F29" i="11"/>
  <c r="F9"/>
  <c r="F30" i="10"/>
  <c r="G30" s="1"/>
  <c r="E5" i="11"/>
  <c r="G5" s="1"/>
  <c r="F5"/>
  <c r="U5" i="12"/>
  <c r="U6" s="1"/>
  <c r="U7" s="1"/>
  <c r="U8" s="1"/>
  <c r="U9" s="1"/>
  <c r="U10" s="1"/>
  <c r="C5"/>
  <c r="C6" s="1"/>
  <c r="C7" s="1"/>
  <c r="C8" s="1"/>
  <c r="C9" s="1"/>
  <c r="C10" s="1"/>
  <c r="Z5"/>
  <c r="A5"/>
  <c r="B5" s="1"/>
  <c r="T5"/>
  <c r="T6" s="1"/>
  <c r="T7" s="1"/>
  <c r="T8" s="1"/>
  <c r="T9" s="1"/>
  <c r="T10" s="1"/>
  <c r="K49" i="11"/>
  <c r="A49"/>
  <c r="I49"/>
  <c r="I50" s="1"/>
  <c r="Z49"/>
  <c r="L49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A37" i="12"/>
  <c r="N37"/>
  <c r="A85"/>
  <c r="I85"/>
  <c r="I86" s="1"/>
  <c r="I123" i="11"/>
  <c r="I124" s="1"/>
  <c r="A123"/>
  <c r="A138"/>
  <c r="I138"/>
  <c r="I139" s="1"/>
  <c r="Z91"/>
  <c r="I91"/>
  <c r="I92" s="1"/>
  <c r="A91"/>
  <c r="N91"/>
  <c r="L91"/>
  <c r="L92" s="1"/>
  <c r="L93" s="1"/>
  <c r="L94" s="1"/>
  <c r="L95" s="1"/>
  <c r="K91"/>
  <c r="I28" i="12"/>
  <c r="I29" s="1"/>
  <c r="A28"/>
  <c r="A141" i="11"/>
  <c r="I141"/>
  <c r="I142" s="1"/>
  <c r="A45" i="10"/>
  <c r="O45"/>
  <c r="G36"/>
  <c r="G154"/>
  <c r="A154" s="1"/>
  <c r="G122"/>
  <c r="G33"/>
  <c r="G159"/>
  <c r="A159" s="1"/>
  <c r="G36" i="11"/>
  <c r="I16"/>
  <c r="G71"/>
  <c r="G72"/>
  <c r="A72" s="1"/>
  <c r="G115"/>
  <c r="G159"/>
  <c r="A159" s="1"/>
  <c r="G112"/>
  <c r="G50" i="12"/>
  <c r="A50" s="1"/>
  <c r="G155" i="11"/>
  <c r="G13" i="12"/>
  <c r="I13" s="1"/>
  <c r="I14" s="1"/>
  <c r="I40"/>
  <c r="G55"/>
  <c r="G161" i="10"/>
  <c r="F27" i="9"/>
  <c r="E68" i="12"/>
  <c r="G68" s="1"/>
  <c r="E12"/>
  <c r="E96" i="11"/>
  <c r="G96" s="1"/>
  <c r="E52"/>
  <c r="G52" s="1"/>
  <c r="A52" s="1"/>
  <c r="F68" i="12"/>
  <c r="F12"/>
  <c r="F96" i="11"/>
  <c r="F52"/>
  <c r="E41" i="12"/>
  <c r="G41" s="1"/>
  <c r="E131" i="11"/>
  <c r="G131" s="1"/>
  <c r="A131" s="1"/>
  <c r="F41" i="12"/>
  <c r="F131" i="11"/>
  <c r="E134" i="10"/>
  <c r="G134" s="1"/>
  <c r="A134" s="1"/>
  <c r="F127"/>
  <c r="E110"/>
  <c r="G110" s="1"/>
  <c r="A110" s="1"/>
  <c r="U36" i="1"/>
  <c r="E29" i="10"/>
  <c r="G29" s="1"/>
  <c r="A29" s="1"/>
  <c r="E146"/>
  <c r="G146" s="1"/>
  <c r="A146" s="1"/>
  <c r="F134"/>
  <c r="F110"/>
  <c r="E99"/>
  <c r="G99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F82"/>
  <c r="E163"/>
  <c r="G163" s="1"/>
  <c r="A163" s="1"/>
  <c r="F146"/>
  <c r="F99"/>
  <c r="E17" i="11"/>
  <c r="G17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F46" i="10"/>
  <c r="F53"/>
  <c r="F65"/>
  <c r="E82"/>
  <c r="G82" s="1"/>
  <c r="A82" s="1"/>
  <c r="F163"/>
  <c r="E127"/>
  <c r="G127" s="1"/>
  <c r="F17" i="11"/>
  <c r="F29" i="10"/>
  <c r="E46"/>
  <c r="G46" s="1"/>
  <c r="A46" s="1"/>
  <c r="E53"/>
  <c r="G53" s="1"/>
  <c r="A53" s="1"/>
  <c r="E65"/>
  <c r="G65" s="1"/>
  <c r="A65" s="1"/>
  <c r="A108"/>
  <c r="I108"/>
  <c r="I109" s="1"/>
  <c r="I27"/>
  <c r="I28" s="1"/>
  <c r="A27"/>
  <c r="A73" i="12"/>
  <c r="I73"/>
  <c r="I74" s="1"/>
  <c r="I106" i="11"/>
  <c r="I107" s="1"/>
  <c r="A106"/>
  <c r="A49" i="12"/>
  <c r="I49"/>
  <c r="I50" s="1"/>
  <c r="I59" i="11"/>
  <c r="I60" s="1"/>
  <c r="A59"/>
  <c r="I22" i="12"/>
  <c r="I23" s="1"/>
  <c r="A22"/>
  <c r="Z63"/>
  <c r="L63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A63"/>
  <c r="I63"/>
  <c r="I64" s="1"/>
  <c r="K63"/>
  <c r="A44" i="10"/>
  <c r="I44"/>
  <c r="I45" s="1"/>
  <c r="L133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G37" i="11"/>
  <c r="A37" s="1"/>
  <c r="G73" i="10"/>
  <c r="A73" s="1"/>
  <c r="G117"/>
  <c r="G81"/>
  <c r="A81" s="1"/>
  <c r="G68" i="11"/>
  <c r="G156"/>
  <c r="A156" s="1"/>
  <c r="G80"/>
  <c r="A80" s="1"/>
  <c r="G121"/>
  <c r="A121" s="1"/>
  <c r="G150"/>
  <c r="G11" i="12"/>
  <c r="G150" i="10"/>
  <c r="G34" i="11"/>
  <c r="A34" s="1"/>
  <c r="O46"/>
  <c r="O47" s="1"/>
  <c r="O99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Y85"/>
  <c r="X85"/>
  <c r="Y49"/>
  <c r="X49"/>
  <c r="X94" i="10"/>
  <c r="Y94"/>
  <c r="K132"/>
  <c r="Z132"/>
  <c r="Z94"/>
  <c r="K94"/>
  <c r="X100"/>
  <c r="Y100"/>
  <c r="N94"/>
  <c r="A94"/>
  <c r="Y20" i="11"/>
  <c r="Y21"/>
  <c r="X21"/>
  <c r="Y18"/>
  <c r="A13"/>
  <c r="N13"/>
  <c r="Z13"/>
  <c r="K13"/>
  <c r="X5"/>
  <c r="Y5"/>
  <c r="L14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Z51" i="10"/>
  <c r="K51"/>
  <c r="Y23"/>
  <c r="X23"/>
  <c r="X4"/>
  <c r="Y5" s="1"/>
  <c r="I16"/>
  <c r="G24" i="7"/>
  <c r="A24" s="1"/>
  <c r="I129"/>
  <c r="I49" i="9"/>
  <c r="G53" i="2"/>
  <c r="G88"/>
  <c r="T88" s="1"/>
  <c r="T89" s="1"/>
  <c r="G36" i="7"/>
  <c r="L129"/>
  <c r="K89" i="6"/>
  <c r="Z89"/>
  <c r="G61" i="2"/>
  <c r="G25"/>
  <c r="G52"/>
  <c r="G15"/>
  <c r="I15" s="1"/>
  <c r="G49"/>
  <c r="T49" s="1"/>
  <c r="G37" i="7"/>
  <c r="A37" s="1"/>
  <c r="G33"/>
  <c r="A33" s="1"/>
  <c r="X93" i="9"/>
  <c r="G99" i="2"/>
  <c r="G17"/>
  <c r="G59"/>
  <c r="G90"/>
  <c r="G61" i="6"/>
  <c r="I61" s="1"/>
  <c r="G90"/>
  <c r="T90" s="1"/>
  <c r="A13" i="10"/>
  <c r="G91" i="2"/>
  <c r="G16"/>
  <c r="G58"/>
  <c r="I58" s="1"/>
  <c r="G24"/>
  <c r="G13"/>
  <c r="I23" i="9"/>
  <c r="I24" s="1"/>
  <c r="A23"/>
  <c r="I141" i="7"/>
  <c r="I142" s="1"/>
  <c r="A141"/>
  <c r="I12" i="9"/>
  <c r="I13" s="1"/>
  <c r="A12"/>
  <c r="I106" i="7"/>
  <c r="A106"/>
  <c r="Z49"/>
  <c r="A49"/>
  <c r="I62"/>
  <c r="I63" s="1"/>
  <c r="A62"/>
  <c r="I124" i="9"/>
  <c r="A124"/>
  <c r="O116"/>
  <c r="A116"/>
  <c r="I129"/>
  <c r="I130" s="1"/>
  <c r="A129"/>
  <c r="I137"/>
  <c r="A137"/>
  <c r="I75"/>
  <c r="A75"/>
  <c r="I144"/>
  <c r="A144"/>
  <c r="I72"/>
  <c r="I73" s="1"/>
  <c r="A72"/>
  <c r="I36" i="7"/>
  <c r="A36"/>
  <c r="I12"/>
  <c r="A12"/>
  <c r="I41"/>
  <c r="A41"/>
  <c r="I27"/>
  <c r="A27"/>
  <c r="I103"/>
  <c r="I104" s="1"/>
  <c r="A103"/>
  <c r="I147" i="9"/>
  <c r="A147"/>
  <c r="I132"/>
  <c r="I133" s="1"/>
  <c r="A132"/>
  <c r="I57"/>
  <c r="I58" s="1"/>
  <c r="A57"/>
  <c r="I43"/>
  <c r="I44" s="1"/>
  <c r="A43"/>
  <c r="I60"/>
  <c r="I61" s="1"/>
  <c r="A60"/>
  <c r="I44" i="7"/>
  <c r="I45" s="1"/>
  <c r="A44"/>
  <c r="I53"/>
  <c r="I54" s="1"/>
  <c r="A53"/>
  <c r="I123"/>
  <c r="I124" s="1"/>
  <c r="A123"/>
  <c r="I115" i="9"/>
  <c r="A115"/>
  <c r="Z49"/>
  <c r="A49"/>
  <c r="I26"/>
  <c r="A26"/>
  <c r="I138" i="7"/>
  <c r="I139" s="1"/>
  <c r="A138"/>
  <c r="I59"/>
  <c r="I60" s="1"/>
  <c r="A59"/>
  <c r="I132"/>
  <c r="A132"/>
  <c r="Z121" i="9"/>
  <c r="A121"/>
  <c r="I96"/>
  <c r="A96"/>
  <c r="I99"/>
  <c r="I100" s="1"/>
  <c r="A99"/>
  <c r="K12" i="10"/>
  <c r="K13" s="1"/>
  <c r="A12"/>
  <c r="I140" i="9"/>
  <c r="A140"/>
  <c r="I65"/>
  <c r="I66" s="1"/>
  <c r="A65"/>
  <c r="I68"/>
  <c r="A68"/>
  <c r="I52"/>
  <c r="I53" s="1"/>
  <c r="A52"/>
  <c r="Y4" i="10"/>
  <c r="L50" i="9"/>
  <c r="G40"/>
  <c r="G76" i="7"/>
  <c r="I97" i="9"/>
  <c r="O18" i="1"/>
  <c r="M18"/>
  <c r="Q18"/>
  <c r="O54" s="1"/>
  <c r="Q54" s="1"/>
  <c r="L18"/>
  <c r="N46" s="1"/>
  <c r="P18"/>
  <c r="N18"/>
  <c r="R18"/>
  <c r="M17"/>
  <c r="Q17"/>
  <c r="O53" s="1"/>
  <c r="Q53" s="1"/>
  <c r="L17"/>
  <c r="N45" s="1"/>
  <c r="O17"/>
  <c r="N17"/>
  <c r="R17"/>
  <c r="P17"/>
  <c r="F47" i="9"/>
  <c r="E84"/>
  <c r="G84" s="1"/>
  <c r="E91" i="10"/>
  <c r="G91" s="1"/>
  <c r="A91" s="1"/>
  <c r="F10"/>
  <c r="E47" i="9"/>
  <c r="G47" s="1"/>
  <c r="F77"/>
  <c r="E10" i="10"/>
  <c r="G10" s="1"/>
  <c r="F156" i="9"/>
  <c r="E149"/>
  <c r="G149" s="1"/>
  <c r="F91" i="10"/>
  <c r="E119" i="9"/>
  <c r="G119" s="1"/>
  <c r="F84"/>
  <c r="F149"/>
  <c r="E77"/>
  <c r="G77" s="1"/>
  <c r="E156"/>
  <c r="G156" s="1"/>
  <c r="F119"/>
  <c r="F39"/>
  <c r="G39" s="1"/>
  <c r="A39" s="1"/>
  <c r="E48"/>
  <c r="G48" s="1"/>
  <c r="F78"/>
  <c r="E85" i="10"/>
  <c r="G85" s="1"/>
  <c r="A85" s="1"/>
  <c r="E11"/>
  <c r="G11" s="1"/>
  <c r="A11" s="1"/>
  <c r="E39" i="9"/>
  <c r="E78"/>
  <c r="G78" s="1"/>
  <c r="A78" s="1"/>
  <c r="F11" i="10"/>
  <c r="F31" i="9"/>
  <c r="G31" s="1"/>
  <c r="A31" s="1"/>
  <c r="F56"/>
  <c r="F64"/>
  <c r="F71"/>
  <c r="E31"/>
  <c r="E56"/>
  <c r="G56" s="1"/>
  <c r="A56" s="1"/>
  <c r="F85" i="10"/>
  <c r="F136" i="9"/>
  <c r="F128"/>
  <c r="F120"/>
  <c r="E64"/>
  <c r="G64" s="1"/>
  <c r="A64" s="1"/>
  <c r="F150"/>
  <c r="E143"/>
  <c r="G143" s="1"/>
  <c r="A143" s="1"/>
  <c r="E111"/>
  <c r="E103"/>
  <c r="E95"/>
  <c r="G95" s="1"/>
  <c r="A95" s="1"/>
  <c r="E71"/>
  <c r="G71" s="1"/>
  <c r="A71" s="1"/>
  <c r="F143"/>
  <c r="E136"/>
  <c r="G136" s="1"/>
  <c r="A136" s="1"/>
  <c r="E128"/>
  <c r="G128" s="1"/>
  <c r="A128" s="1"/>
  <c r="E120"/>
  <c r="G120" s="1"/>
  <c r="F111"/>
  <c r="G111" s="1"/>
  <c r="A111" s="1"/>
  <c r="F103"/>
  <c r="G103" s="1"/>
  <c r="A103" s="1"/>
  <c r="F95"/>
  <c r="F48"/>
  <c r="E150"/>
  <c r="G150" s="1"/>
  <c r="A150" s="1"/>
  <c r="F85"/>
  <c r="E85"/>
  <c r="G85" s="1"/>
  <c r="A85" s="1"/>
  <c r="E30"/>
  <c r="F55"/>
  <c r="E63"/>
  <c r="G63" s="1"/>
  <c r="F70"/>
  <c r="F38"/>
  <c r="G38" s="1"/>
  <c r="E55"/>
  <c r="G55" s="1"/>
  <c r="E70"/>
  <c r="G70" s="1"/>
  <c r="E38"/>
  <c r="F63"/>
  <c r="F30"/>
  <c r="G30" s="1"/>
  <c r="A30" s="1"/>
  <c r="F142"/>
  <c r="E135"/>
  <c r="G135" s="1"/>
  <c r="E127"/>
  <c r="G127" s="1"/>
  <c r="F110"/>
  <c r="G110" s="1"/>
  <c r="F102"/>
  <c r="G102" s="1"/>
  <c r="A102" s="1"/>
  <c r="F94"/>
  <c r="F135"/>
  <c r="F127"/>
  <c r="E142"/>
  <c r="G142" s="1"/>
  <c r="E110"/>
  <c r="E102"/>
  <c r="E94"/>
  <c r="G94" s="1"/>
  <c r="I94" s="1"/>
  <c r="F29"/>
  <c r="E37"/>
  <c r="F76"/>
  <c r="F83"/>
  <c r="E29"/>
  <c r="G29" s="1"/>
  <c r="A29" s="1"/>
  <c r="F54"/>
  <c r="F62"/>
  <c r="E76"/>
  <c r="G76" s="1"/>
  <c r="A76" s="1"/>
  <c r="E83"/>
  <c r="G83" s="1"/>
  <c r="F90" i="10"/>
  <c r="F46" i="9"/>
  <c r="E54"/>
  <c r="G54" s="1"/>
  <c r="A54" s="1"/>
  <c r="E62"/>
  <c r="G62" s="1"/>
  <c r="A62" s="1"/>
  <c r="F69"/>
  <c r="E90" i="10"/>
  <c r="G90" s="1"/>
  <c r="E9"/>
  <c r="G9" s="1"/>
  <c r="F37" i="9"/>
  <c r="G37" s="1"/>
  <c r="A37" s="1"/>
  <c r="F148"/>
  <c r="E141"/>
  <c r="G141" s="1"/>
  <c r="A141" s="1"/>
  <c r="E109"/>
  <c r="E101"/>
  <c r="G101" s="1"/>
  <c r="A101" s="1"/>
  <c r="F9" i="10"/>
  <c r="F134" i="9"/>
  <c r="F126"/>
  <c r="F118"/>
  <c r="F93"/>
  <c r="E46"/>
  <c r="G46" s="1"/>
  <c r="A46" s="1"/>
  <c r="F141"/>
  <c r="E69"/>
  <c r="G69" s="1"/>
  <c r="A69" s="1"/>
  <c r="E148"/>
  <c r="G148" s="1"/>
  <c r="A148" s="1"/>
  <c r="E134"/>
  <c r="G134" s="1"/>
  <c r="A134" s="1"/>
  <c r="E126"/>
  <c r="G126" s="1"/>
  <c r="A126" s="1"/>
  <c r="E118"/>
  <c r="G118" s="1"/>
  <c r="A118" s="1"/>
  <c r="F109"/>
  <c r="G109" s="1"/>
  <c r="A109" s="1"/>
  <c r="F101"/>
  <c r="E93"/>
  <c r="G93" s="1"/>
  <c r="O93" s="1"/>
  <c r="O94" s="1"/>
  <c r="O95" s="1"/>
  <c r="O96" s="1"/>
  <c r="O97" s="1"/>
  <c r="F5" i="10"/>
  <c r="E5"/>
  <c r="G5" s="1"/>
  <c r="A44" i="2"/>
  <c r="A6"/>
  <c r="B6" s="1"/>
  <c r="B7" s="1"/>
  <c r="A8"/>
  <c r="A60"/>
  <c r="A76"/>
  <c r="P46" i="1"/>
  <c r="G34" i="7"/>
  <c r="G42"/>
  <c r="G102" i="6"/>
  <c r="G101"/>
  <c r="I101" s="1"/>
  <c r="I102" s="1"/>
  <c r="I104" s="1"/>
  <c r="I105" s="1"/>
  <c r="I49" i="7"/>
  <c r="I50" s="1"/>
  <c r="G156"/>
  <c r="A156" s="1"/>
  <c r="K121" i="9"/>
  <c r="K122" s="1"/>
  <c r="I125"/>
  <c r="G41"/>
  <c r="G32"/>
  <c r="M19" i="1"/>
  <c r="Q19"/>
  <c r="O55" s="1"/>
  <c r="Q55" s="1"/>
  <c r="F61" s="1"/>
  <c r="O19"/>
  <c r="N19"/>
  <c r="R19"/>
  <c r="N47"/>
  <c r="P19"/>
  <c r="X4" i="6"/>
  <c r="K49" i="7"/>
  <c r="L121" i="9"/>
  <c r="L122" s="1"/>
  <c r="G33"/>
  <c r="A33" s="1"/>
  <c r="I145"/>
  <c r="F45"/>
  <c r="E45"/>
  <c r="G45" s="1"/>
  <c r="E18" i="10"/>
  <c r="G18" s="1"/>
  <c r="F18"/>
  <c r="E117" i="9"/>
  <c r="G117" s="1"/>
  <c r="F88"/>
  <c r="E88"/>
  <c r="G88" s="1"/>
  <c r="I88" s="1"/>
  <c r="I89" s="1"/>
  <c r="F117"/>
  <c r="F42"/>
  <c r="G42" s="1"/>
  <c r="E19" i="10"/>
  <c r="G19" s="1"/>
  <c r="I19" s="1"/>
  <c r="E7"/>
  <c r="G7" s="1"/>
  <c r="F6"/>
  <c r="E42" i="9"/>
  <c r="F67"/>
  <c r="E14" i="10"/>
  <c r="G14" s="1"/>
  <c r="R14" s="1"/>
  <c r="R15" s="1"/>
  <c r="R16" s="1"/>
  <c r="R17" s="1"/>
  <c r="E8"/>
  <c r="G8" s="1"/>
  <c r="F7"/>
  <c r="F34" i="9"/>
  <c r="G34" s="1"/>
  <c r="A34" s="1"/>
  <c r="E67"/>
  <c r="G67" s="1"/>
  <c r="A67" s="1"/>
  <c r="F14" i="10"/>
  <c r="F8"/>
  <c r="E6"/>
  <c r="G6" s="1"/>
  <c r="E34" i="9"/>
  <c r="E139"/>
  <c r="G139" s="1"/>
  <c r="A139" s="1"/>
  <c r="F114"/>
  <c r="G114" s="1"/>
  <c r="F87"/>
  <c r="F19" i="10"/>
  <c r="F139" i="9"/>
  <c r="E114"/>
  <c r="E87"/>
  <c r="G87" s="1"/>
  <c r="R87" s="1"/>
  <c r="E17" i="10"/>
  <c r="F17"/>
  <c r="F91" i="9"/>
  <c r="E91"/>
  <c r="T41" i="1"/>
  <c r="E155" i="9"/>
  <c r="G155" s="1"/>
  <c r="F155"/>
  <c r="V96" i="7"/>
  <c r="V17" i="10"/>
  <c r="V18" i="9"/>
  <c r="V91"/>
  <c r="P45" i="1"/>
  <c r="E27" i="9"/>
  <c r="G27" s="1"/>
  <c r="A27" s="1"/>
  <c r="I121"/>
  <c r="I122" s="1"/>
  <c r="I50"/>
  <c r="G35"/>
  <c r="G36"/>
  <c r="A36" s="1"/>
  <c r="Z50"/>
  <c r="K50"/>
  <c r="L12" i="10"/>
  <c r="L13" s="1"/>
  <c r="I12"/>
  <c r="I13" s="1"/>
  <c r="Z12"/>
  <c r="Z13"/>
  <c r="Q11"/>
  <c r="Q12" s="1"/>
  <c r="Q13" s="1"/>
  <c r="Z11"/>
  <c r="N13"/>
  <c r="X17"/>
  <c r="G107" i="9"/>
  <c r="Y92"/>
  <c r="G104"/>
  <c r="G113"/>
  <c r="A113" s="1"/>
  <c r="G108"/>
  <c r="A108" s="1"/>
  <c r="L12"/>
  <c r="L13" s="1"/>
  <c r="Y93"/>
  <c r="G112"/>
  <c r="I116"/>
  <c r="I138"/>
  <c r="G105"/>
  <c r="A105" s="1"/>
  <c r="Y94"/>
  <c r="X94"/>
  <c r="Z12"/>
  <c r="N12"/>
  <c r="A13" s="1"/>
  <c r="K12"/>
  <c r="Z13" s="1"/>
  <c r="F5"/>
  <c r="E5"/>
  <c r="G5" s="1"/>
  <c r="A5" s="1"/>
  <c r="B5" s="1"/>
  <c r="Z91" i="7"/>
  <c r="I91"/>
  <c r="I92" s="1"/>
  <c r="L91"/>
  <c r="L92" s="1"/>
  <c r="F140"/>
  <c r="F130"/>
  <c r="F114"/>
  <c r="G114" s="1"/>
  <c r="A114" s="1"/>
  <c r="E105"/>
  <c r="G105" s="1"/>
  <c r="A105" s="1"/>
  <c r="F97"/>
  <c r="E93"/>
  <c r="G93" s="1"/>
  <c r="E70"/>
  <c r="E61"/>
  <c r="G61" s="1"/>
  <c r="A61" s="1"/>
  <c r="F149"/>
  <c r="G149" s="1"/>
  <c r="A149" s="1"/>
  <c r="E149"/>
  <c r="F105"/>
  <c r="F93"/>
  <c r="F70"/>
  <c r="G70" s="1"/>
  <c r="A70" s="1"/>
  <c r="F61"/>
  <c r="E51"/>
  <c r="G51" s="1"/>
  <c r="Q34" i="1"/>
  <c r="E68" s="1"/>
  <c r="E14" i="9"/>
  <c r="G14" s="1"/>
  <c r="R14" s="1"/>
  <c r="F14"/>
  <c r="E140" i="7"/>
  <c r="G140" s="1"/>
  <c r="A140" s="1"/>
  <c r="E130"/>
  <c r="G130" s="1"/>
  <c r="E114"/>
  <c r="E97"/>
  <c r="G97" s="1"/>
  <c r="F51"/>
  <c r="F18" i="9"/>
  <c r="E96" i="7"/>
  <c r="F96"/>
  <c r="E18" i="9"/>
  <c r="G17" i="6"/>
  <c r="I62"/>
  <c r="G13"/>
  <c r="T13" s="1"/>
  <c r="G16"/>
  <c r="G94"/>
  <c r="I16" i="7"/>
  <c r="G158"/>
  <c r="G150"/>
  <c r="G121"/>
  <c r="A121" s="1"/>
  <c r="I95"/>
  <c r="G71"/>
  <c r="G159"/>
  <c r="A159" s="1"/>
  <c r="I107"/>
  <c r="G72"/>
  <c r="A72" s="1"/>
  <c r="G112"/>
  <c r="E131"/>
  <c r="G131" s="1"/>
  <c r="A131" s="1"/>
  <c r="E64" i="1"/>
  <c r="E52" i="7"/>
  <c r="G52" s="1"/>
  <c r="A52" s="1"/>
  <c r="F131"/>
  <c r="E98"/>
  <c r="G98" s="1"/>
  <c r="F98"/>
  <c r="F15" i="9"/>
  <c r="F52" i="7"/>
  <c r="E15" i="9"/>
  <c r="G15" s="1"/>
  <c r="I15" s="1"/>
  <c r="I16" s="1"/>
  <c r="E10"/>
  <c r="G10" s="1"/>
  <c r="E161" i="7"/>
  <c r="G161" s="1"/>
  <c r="E109"/>
  <c r="E89"/>
  <c r="G89" s="1"/>
  <c r="A89" s="1"/>
  <c r="E56"/>
  <c r="G56" s="1"/>
  <c r="F47"/>
  <c r="E144"/>
  <c r="G144" s="1"/>
  <c r="E126"/>
  <c r="G126" s="1"/>
  <c r="F100"/>
  <c r="E82"/>
  <c r="G82" s="1"/>
  <c r="E65"/>
  <c r="G65" s="1"/>
  <c r="F10" i="9"/>
  <c r="F161" i="7"/>
  <c r="E135"/>
  <c r="G135" s="1"/>
  <c r="F109"/>
  <c r="G109" s="1"/>
  <c r="A109" s="1"/>
  <c r="E100"/>
  <c r="G100" s="1"/>
  <c r="I100" s="1"/>
  <c r="F89"/>
  <c r="F56"/>
  <c r="F144"/>
  <c r="F126"/>
  <c r="F82"/>
  <c r="F65"/>
  <c r="E47"/>
  <c r="G47" s="1"/>
  <c r="F135"/>
  <c r="F5" i="2"/>
  <c r="E5"/>
  <c r="G5" s="1"/>
  <c r="Z5" s="1"/>
  <c r="G24" i="6"/>
  <c r="I24" s="1"/>
  <c r="G93"/>
  <c r="G79" i="7"/>
  <c r="G69"/>
  <c r="A69" s="1"/>
  <c r="I133"/>
  <c r="G148"/>
  <c r="A148" s="1"/>
  <c r="G77"/>
  <c r="A77" s="1"/>
  <c r="G120"/>
  <c r="G113"/>
  <c r="A113" s="1"/>
  <c r="F22" i="9"/>
  <c r="F137" i="7"/>
  <c r="F127"/>
  <c r="F119"/>
  <c r="G119" s="1"/>
  <c r="A119" s="1"/>
  <c r="F111"/>
  <c r="G111" s="1"/>
  <c r="A111" s="1"/>
  <c r="E102"/>
  <c r="G102" s="1"/>
  <c r="A102" s="1"/>
  <c r="E83"/>
  <c r="G83" s="1"/>
  <c r="A83" s="1"/>
  <c r="E67"/>
  <c r="G67" s="1"/>
  <c r="A67" s="1"/>
  <c r="F58"/>
  <c r="E48"/>
  <c r="G48" s="1"/>
  <c r="F154"/>
  <c r="G154" s="1"/>
  <c r="A154" s="1"/>
  <c r="E22" i="9"/>
  <c r="G22" s="1"/>
  <c r="A22" s="1"/>
  <c r="E11"/>
  <c r="G11" s="1"/>
  <c r="A11" s="1"/>
  <c r="E154" i="7"/>
  <c r="E146"/>
  <c r="G146" s="1"/>
  <c r="A146" s="1"/>
  <c r="F102"/>
  <c r="F83"/>
  <c r="E75"/>
  <c r="F67"/>
  <c r="F48"/>
  <c r="F11" i="9"/>
  <c r="F146" i="7"/>
  <c r="E137"/>
  <c r="G137" s="1"/>
  <c r="A137" s="1"/>
  <c r="E127"/>
  <c r="G127" s="1"/>
  <c r="E119"/>
  <c r="E111"/>
  <c r="F90"/>
  <c r="E58"/>
  <c r="G58" s="1"/>
  <c r="A58" s="1"/>
  <c r="E90"/>
  <c r="G90" s="1"/>
  <c r="A90" s="1"/>
  <c r="F75"/>
  <c r="G75" s="1"/>
  <c r="A75" s="1"/>
  <c r="F153"/>
  <c r="G153" s="1"/>
  <c r="E145"/>
  <c r="G145" s="1"/>
  <c r="F101"/>
  <c r="F74"/>
  <c r="G74" s="1"/>
  <c r="F66"/>
  <c r="E110"/>
  <c r="F21" i="9"/>
  <c r="F145" i="7"/>
  <c r="E57"/>
  <c r="G57" s="1"/>
  <c r="E136"/>
  <c r="G136" s="1"/>
  <c r="E118"/>
  <c r="E153"/>
  <c r="F136"/>
  <c r="F118"/>
  <c r="G118" s="1"/>
  <c r="F110"/>
  <c r="G110" s="1"/>
  <c r="E101"/>
  <c r="G101" s="1"/>
  <c r="E74"/>
  <c r="E66"/>
  <c r="G66" s="1"/>
  <c r="E21" i="9"/>
  <c r="G21" s="1"/>
  <c r="I21" s="1"/>
  <c r="F57" i="7"/>
  <c r="F9" i="9"/>
  <c r="E134" i="7"/>
  <c r="G134" s="1"/>
  <c r="A134" s="1"/>
  <c r="E117"/>
  <c r="F20" i="9"/>
  <c r="E152" i="7"/>
  <c r="E143"/>
  <c r="G143" s="1"/>
  <c r="A143" s="1"/>
  <c r="F134"/>
  <c r="E125"/>
  <c r="G125" s="1"/>
  <c r="F117"/>
  <c r="G117" s="1"/>
  <c r="A117" s="1"/>
  <c r="E99"/>
  <c r="G99" s="1"/>
  <c r="E88"/>
  <c r="G88" s="1"/>
  <c r="E81"/>
  <c r="G81" s="1"/>
  <c r="A81" s="1"/>
  <c r="E73"/>
  <c r="E64"/>
  <c r="G64" s="1"/>
  <c r="A64" s="1"/>
  <c r="E20" i="9"/>
  <c r="G20" s="1"/>
  <c r="E160" i="7"/>
  <c r="G160" s="1"/>
  <c r="A160" s="1"/>
  <c r="F88"/>
  <c r="F73"/>
  <c r="G73" s="1"/>
  <c r="A73" s="1"/>
  <c r="F64"/>
  <c r="E55"/>
  <c r="G55" s="1"/>
  <c r="A55" s="1"/>
  <c r="E9" i="9"/>
  <c r="G9" s="1"/>
  <c r="F160" i="7"/>
  <c r="F108"/>
  <c r="F55"/>
  <c r="F152"/>
  <c r="G152" s="1"/>
  <c r="A152" s="1"/>
  <c r="F143"/>
  <c r="F125"/>
  <c r="E108"/>
  <c r="G108" s="1"/>
  <c r="A108" s="1"/>
  <c r="F99"/>
  <c r="F81"/>
  <c r="O20" i="9"/>
  <c r="O21" s="1"/>
  <c r="G58" i="6"/>
  <c r="I58" s="1"/>
  <c r="G59"/>
  <c r="G15"/>
  <c r="I15" s="1"/>
  <c r="I16" s="1"/>
  <c r="G49"/>
  <c r="U49" s="1"/>
  <c r="G28" i="7"/>
  <c r="L50"/>
  <c r="K91"/>
  <c r="K92" s="1"/>
  <c r="G155"/>
  <c r="G147"/>
  <c r="A147" s="1"/>
  <c r="G151"/>
  <c r="A151" s="1"/>
  <c r="G115"/>
  <c r="G80"/>
  <c r="A80" s="1"/>
  <c r="G116"/>
  <c r="A116" s="1"/>
  <c r="G68"/>
  <c r="A68" s="1"/>
  <c r="Q11" i="9"/>
  <c r="Q12" s="1"/>
  <c r="Q13" s="1"/>
  <c r="Y5"/>
  <c r="X5"/>
  <c r="K13"/>
  <c r="N92" i="7"/>
  <c r="A93" s="1"/>
  <c r="K129"/>
  <c r="Z129"/>
  <c r="I24"/>
  <c r="I25" s="1"/>
  <c r="K50"/>
  <c r="Z50"/>
  <c r="O45"/>
  <c r="X1"/>
  <c r="X96" s="1"/>
  <c r="X93" i="2"/>
  <c r="G52" i="6"/>
  <c r="I52" s="1"/>
  <c r="G25"/>
  <c r="G53"/>
  <c r="Z12" i="7"/>
  <c r="G92" i="6"/>
  <c r="I92" s="1"/>
  <c r="I13" i="7"/>
  <c r="I37"/>
  <c r="F21"/>
  <c r="F98" i="6"/>
  <c r="G98" s="1"/>
  <c r="I98" s="1"/>
  <c r="E80"/>
  <c r="G80" s="1"/>
  <c r="E98"/>
  <c r="E21" i="7"/>
  <c r="G21" s="1"/>
  <c r="I21" s="1"/>
  <c r="F80" i="6"/>
  <c r="F40" i="7"/>
  <c r="E11"/>
  <c r="G11" s="1"/>
  <c r="F116" i="6"/>
  <c r="F88"/>
  <c r="E81"/>
  <c r="G81" s="1"/>
  <c r="Z81" s="1"/>
  <c r="E40" i="7"/>
  <c r="E23"/>
  <c r="G23" s="1"/>
  <c r="A23" s="1"/>
  <c r="F11"/>
  <c r="E116" i="6"/>
  <c r="G116" s="1"/>
  <c r="E88"/>
  <c r="G88" s="1"/>
  <c r="Q88" s="1"/>
  <c r="Q89" s="1"/>
  <c r="Q90" s="1"/>
  <c r="E109"/>
  <c r="G109" s="1"/>
  <c r="E100"/>
  <c r="E32" i="7"/>
  <c r="F23"/>
  <c r="F100" i="6"/>
  <c r="G100" s="1"/>
  <c r="F32" i="7"/>
  <c r="G32" s="1"/>
  <c r="F81" i="6"/>
  <c r="F109"/>
  <c r="I34" i="2"/>
  <c r="F18" i="7"/>
  <c r="F112" i="6"/>
  <c r="F119"/>
  <c r="F91"/>
  <c r="G91" s="1"/>
  <c r="F95"/>
  <c r="G95" s="1"/>
  <c r="E82"/>
  <c r="G82" s="1"/>
  <c r="Z82" s="1"/>
  <c r="E83"/>
  <c r="G83" s="1"/>
  <c r="Z83" s="1"/>
  <c r="E84"/>
  <c r="G84" s="1"/>
  <c r="Z84" s="1"/>
  <c r="E85"/>
  <c r="G85" s="1"/>
  <c r="Z85" s="1"/>
  <c r="E35" i="7"/>
  <c r="E112" i="6"/>
  <c r="G112" s="1"/>
  <c r="E119"/>
  <c r="G119" s="1"/>
  <c r="E91"/>
  <c r="E95"/>
  <c r="E103"/>
  <c r="F35" i="7"/>
  <c r="G35" s="1"/>
  <c r="A35" s="1"/>
  <c r="E18"/>
  <c r="G18" s="1"/>
  <c r="R18" s="1"/>
  <c r="F82" i="6"/>
  <c r="F83"/>
  <c r="F84"/>
  <c r="F85"/>
  <c r="F103"/>
  <c r="G103" s="1"/>
  <c r="F94"/>
  <c r="E94"/>
  <c r="F17" i="7"/>
  <c r="E17"/>
  <c r="A46" i="2"/>
  <c r="A46" i="6"/>
  <c r="A21" i="2"/>
  <c r="A80" i="6"/>
  <c r="E30" i="7"/>
  <c r="F10"/>
  <c r="F87" i="6"/>
  <c r="F30" i="7"/>
  <c r="E87" i="6"/>
  <c r="G87" s="1"/>
  <c r="E107"/>
  <c r="G107" s="1"/>
  <c r="F107"/>
  <c r="E10" i="7"/>
  <c r="G10" s="1"/>
  <c r="E22"/>
  <c r="G22" s="1"/>
  <c r="F115" i="6"/>
  <c r="F99"/>
  <c r="G99" s="1"/>
  <c r="Q99" s="1"/>
  <c r="E39" i="7"/>
  <c r="F39"/>
  <c r="E31"/>
  <c r="F22"/>
  <c r="E115" i="6"/>
  <c r="G115" s="1"/>
  <c r="I115" s="1"/>
  <c r="I117" s="1"/>
  <c r="I118" s="1"/>
  <c r="I120" s="1"/>
  <c r="I121" s="1"/>
  <c r="E99"/>
  <c r="E108"/>
  <c r="G108" s="1"/>
  <c r="F108"/>
  <c r="F31" i="7"/>
  <c r="G31" s="1"/>
  <c r="A31" s="1"/>
  <c r="F29"/>
  <c r="F20"/>
  <c r="F114" i="6"/>
  <c r="F122"/>
  <c r="E86"/>
  <c r="G86" s="1"/>
  <c r="Z86" s="1"/>
  <c r="F97"/>
  <c r="G97" s="1"/>
  <c r="E79"/>
  <c r="G79" s="1"/>
  <c r="Z79" s="1"/>
  <c r="F46" i="7"/>
  <c r="F106" i="6"/>
  <c r="E114"/>
  <c r="G114" s="1"/>
  <c r="E122"/>
  <c r="G122" s="1"/>
  <c r="E97"/>
  <c r="E106"/>
  <c r="G106" s="1"/>
  <c r="F38" i="7"/>
  <c r="E9"/>
  <c r="G9" s="1"/>
  <c r="E38"/>
  <c r="E46"/>
  <c r="G46" s="1"/>
  <c r="A46" s="1"/>
  <c r="E29"/>
  <c r="E20"/>
  <c r="G20" s="1"/>
  <c r="F9"/>
  <c r="F86" i="6"/>
  <c r="F79"/>
  <c r="V17" i="7"/>
  <c r="V17" i="2"/>
  <c r="V17" i="6"/>
  <c r="V94"/>
  <c r="V92" i="2"/>
  <c r="K90" i="6"/>
  <c r="F19" i="7"/>
  <c r="F96" i="6"/>
  <c r="G96" s="1"/>
  <c r="I96" s="1"/>
  <c r="E96"/>
  <c r="E19" i="7"/>
  <c r="G19" s="1"/>
  <c r="A55" i="6"/>
  <c r="A10" i="2"/>
  <c r="A30"/>
  <c r="A30" i="6"/>
  <c r="A10"/>
  <c r="A64"/>
  <c r="A55" i="2"/>
  <c r="A79"/>
  <c r="A64"/>
  <c r="E5" i="6"/>
  <c r="G5" s="1"/>
  <c r="F5"/>
  <c r="F5" i="7"/>
  <c r="E5"/>
  <c r="G5" s="1"/>
  <c r="A5" s="1"/>
  <c r="B5" s="1"/>
  <c r="L89" i="6"/>
  <c r="N89"/>
  <c r="N90" s="1"/>
  <c r="L12" i="7"/>
  <c r="L13" s="1"/>
  <c r="I34" i="6"/>
  <c r="I89"/>
  <c r="K12" i="7"/>
  <c r="K13" s="1"/>
  <c r="I68" i="6"/>
  <c r="N12" i="7"/>
  <c r="B7" i="6"/>
  <c r="L12"/>
  <c r="N12"/>
  <c r="Q81"/>
  <c r="Y5" i="7"/>
  <c r="I12" i="6"/>
  <c r="Z12"/>
  <c r="K12"/>
  <c r="Z90"/>
  <c r="X1"/>
  <c r="X94" s="1"/>
  <c r="L48" i="2"/>
  <c r="L49" s="1"/>
  <c r="I48"/>
  <c r="I49" s="1"/>
  <c r="Z48"/>
  <c r="K48"/>
  <c r="Z49" s="1"/>
  <c r="F73" i="6"/>
  <c r="E66"/>
  <c r="G66" s="1"/>
  <c r="K66" s="1"/>
  <c r="F47"/>
  <c r="F39"/>
  <c r="F32"/>
  <c r="F57" i="2"/>
  <c r="G57" s="1"/>
  <c r="F73"/>
  <c r="F23"/>
  <c r="G23" s="1"/>
  <c r="K23" s="1"/>
  <c r="Z24" s="1"/>
  <c r="E57" i="6"/>
  <c r="E23"/>
  <c r="T36" i="1"/>
  <c r="F32" i="2"/>
  <c r="F66" i="6"/>
  <c r="E11"/>
  <c r="G11" s="1"/>
  <c r="Q11" s="1"/>
  <c r="E57" i="2"/>
  <c r="E73"/>
  <c r="G73" s="1"/>
  <c r="E23"/>
  <c r="F11" i="6"/>
  <c r="F80" i="2"/>
  <c r="F86"/>
  <c r="F66"/>
  <c r="F39"/>
  <c r="F11"/>
  <c r="E73" i="6"/>
  <c r="G73" s="1"/>
  <c r="Z73" s="1"/>
  <c r="F57"/>
  <c r="G57" s="1"/>
  <c r="K57" s="1"/>
  <c r="E47"/>
  <c r="G47" s="1"/>
  <c r="Q47" s="1"/>
  <c r="Q48" s="1"/>
  <c r="Q49" s="1"/>
  <c r="E39"/>
  <c r="G39" s="1"/>
  <c r="K39" s="1"/>
  <c r="E32"/>
  <c r="G32" s="1"/>
  <c r="Z32" s="1"/>
  <c r="F23"/>
  <c r="G23" s="1"/>
  <c r="Z23" s="1"/>
  <c r="E80" i="2"/>
  <c r="G80" s="1"/>
  <c r="Z80" s="1"/>
  <c r="E86"/>
  <c r="G86" s="1"/>
  <c r="Z86" s="1"/>
  <c r="E66"/>
  <c r="G66" s="1"/>
  <c r="E39"/>
  <c r="G39" s="1"/>
  <c r="Z39" s="1"/>
  <c r="E47"/>
  <c r="G47" s="1"/>
  <c r="E32"/>
  <c r="G32" s="1"/>
  <c r="Z32" s="1"/>
  <c r="E11"/>
  <c r="G11" s="1"/>
  <c r="Q11" s="1"/>
  <c r="Q12" s="1"/>
  <c r="Q13" s="1"/>
  <c r="F47"/>
  <c r="E35" i="1"/>
  <c r="F69" i="6"/>
  <c r="E44"/>
  <c r="G44" s="1"/>
  <c r="O44" s="1"/>
  <c r="F35"/>
  <c r="E14"/>
  <c r="E7"/>
  <c r="G7" s="1"/>
  <c r="Z7" s="1"/>
  <c r="F6"/>
  <c r="F93" i="2"/>
  <c r="G93" s="1"/>
  <c r="R93" s="1"/>
  <c r="R94" s="1"/>
  <c r="F18"/>
  <c r="G18" s="1"/>
  <c r="E76" i="6"/>
  <c r="G76" s="1"/>
  <c r="E50"/>
  <c r="F18"/>
  <c r="G18" s="1"/>
  <c r="R18" s="1"/>
  <c r="E60"/>
  <c r="F44"/>
  <c r="E26"/>
  <c r="E18"/>
  <c r="F14"/>
  <c r="G14" s="1"/>
  <c r="E8"/>
  <c r="G8" s="1"/>
  <c r="Z8" s="1"/>
  <c r="F7"/>
  <c r="E93" i="2"/>
  <c r="E18"/>
  <c r="F60" i="6"/>
  <c r="G60" s="1"/>
  <c r="F26"/>
  <c r="G26" s="1"/>
  <c r="F50" i="2"/>
  <c r="G50" s="1"/>
  <c r="R50" s="1"/>
  <c r="F76" i="6"/>
  <c r="E69"/>
  <c r="G69" s="1"/>
  <c r="F50"/>
  <c r="G50" s="1"/>
  <c r="R50" s="1"/>
  <c r="F42"/>
  <c r="E35"/>
  <c r="G35" s="1"/>
  <c r="E6"/>
  <c r="G6" s="1"/>
  <c r="Z6" s="1"/>
  <c r="E50" i="2"/>
  <c r="E42" i="6"/>
  <c r="G42" s="1"/>
  <c r="F8"/>
  <c r="E17"/>
  <c r="F17"/>
  <c r="E92" i="2"/>
  <c r="E17"/>
  <c r="F92"/>
  <c r="F17"/>
  <c r="T50"/>
  <c r="E21" i="6"/>
  <c r="F46" i="2"/>
  <c r="F21"/>
  <c r="G21" s="1"/>
  <c r="F96"/>
  <c r="G96" s="1"/>
  <c r="F21" i="6"/>
  <c r="G21" s="1"/>
  <c r="I21" s="1"/>
  <c r="E46" i="2"/>
  <c r="G46" s="1"/>
  <c r="I46" s="1"/>
  <c r="E21"/>
  <c r="E46" i="6"/>
  <c r="G46" s="1"/>
  <c r="I46" s="1"/>
  <c r="F46"/>
  <c r="E96" i="2"/>
  <c r="E55" i="6"/>
  <c r="E10"/>
  <c r="G10" s="1"/>
  <c r="Z10" s="1"/>
  <c r="F79" i="2"/>
  <c r="F85"/>
  <c r="F55"/>
  <c r="G55" s="1"/>
  <c r="I55" s="1"/>
  <c r="F10"/>
  <c r="E64" i="6"/>
  <c r="G64" s="1"/>
  <c r="I64" s="1"/>
  <c r="F55"/>
  <c r="G55" s="1"/>
  <c r="I55" s="1"/>
  <c r="E30"/>
  <c r="G30" s="1"/>
  <c r="I30" s="1"/>
  <c r="F10"/>
  <c r="E79" i="2"/>
  <c r="G79" s="1"/>
  <c r="Z79" s="1"/>
  <c r="E85"/>
  <c r="G85" s="1"/>
  <c r="Z85" s="1"/>
  <c r="E55"/>
  <c r="E10"/>
  <c r="G10" s="1"/>
  <c r="Z10" s="1"/>
  <c r="F64" i="6"/>
  <c r="E64" i="2"/>
  <c r="G64" s="1"/>
  <c r="I64" s="1"/>
  <c r="E30"/>
  <c r="G30" s="1"/>
  <c r="I30" s="1"/>
  <c r="F30" i="6"/>
  <c r="F64" i="2"/>
  <c r="F30"/>
  <c r="F65" i="6"/>
  <c r="F97" i="2"/>
  <c r="G97" s="1"/>
  <c r="F65"/>
  <c r="F38"/>
  <c r="F31"/>
  <c r="E72" i="6"/>
  <c r="G72" s="1"/>
  <c r="F72" i="2"/>
  <c r="E56" i="6"/>
  <c r="E22"/>
  <c r="E97" i="2"/>
  <c r="E65"/>
  <c r="G65" s="1"/>
  <c r="E38"/>
  <c r="G38" s="1"/>
  <c r="I38" s="1"/>
  <c r="E31"/>
  <c r="G31" s="1"/>
  <c r="F56" i="6"/>
  <c r="G56" s="1"/>
  <c r="Q56" s="1"/>
  <c r="Q57" s="1"/>
  <c r="E31"/>
  <c r="G31" s="1"/>
  <c r="Q31" s="1"/>
  <c r="F22"/>
  <c r="G22" s="1"/>
  <c r="Q22" s="1"/>
  <c r="F56" i="2"/>
  <c r="G56" s="1"/>
  <c r="F72" i="6"/>
  <c r="E65"/>
  <c r="G65" s="1"/>
  <c r="F38"/>
  <c r="F31"/>
  <c r="E56" i="2"/>
  <c r="E72"/>
  <c r="G72" s="1"/>
  <c r="E22"/>
  <c r="E38" i="6"/>
  <c r="G38" s="1"/>
  <c r="I38" s="1"/>
  <c r="F22" i="2"/>
  <c r="G22" s="1"/>
  <c r="E78" i="6"/>
  <c r="G78" s="1"/>
  <c r="F54"/>
  <c r="G54" s="1"/>
  <c r="E29"/>
  <c r="G29" s="1"/>
  <c r="F20"/>
  <c r="G20" s="1"/>
  <c r="F95" i="2"/>
  <c r="G95" s="1"/>
  <c r="F63"/>
  <c r="F71"/>
  <c r="F29"/>
  <c r="F45" i="6"/>
  <c r="F37"/>
  <c r="E9"/>
  <c r="G9" s="1"/>
  <c r="Z9" s="1"/>
  <c r="F84" i="2"/>
  <c r="F20"/>
  <c r="G20" s="1"/>
  <c r="F9"/>
  <c r="F78" i="6"/>
  <c r="E71"/>
  <c r="G71" s="1"/>
  <c r="I71" s="1"/>
  <c r="I72" s="1"/>
  <c r="E63"/>
  <c r="G63" s="1"/>
  <c r="E45"/>
  <c r="G45" s="1"/>
  <c r="E37"/>
  <c r="G37" s="1"/>
  <c r="F29"/>
  <c r="E95" i="2"/>
  <c r="E63"/>
  <c r="G63" s="1"/>
  <c r="E71"/>
  <c r="G71" s="1"/>
  <c r="I71" s="1"/>
  <c r="E29"/>
  <c r="G29" s="1"/>
  <c r="F71" i="6"/>
  <c r="F63"/>
  <c r="F45" i="2"/>
  <c r="E54" i="6"/>
  <c r="E20"/>
  <c r="F9"/>
  <c r="E78" i="2"/>
  <c r="G78" s="1"/>
  <c r="E84"/>
  <c r="G84" s="1"/>
  <c r="Z84" s="1"/>
  <c r="E54"/>
  <c r="E37"/>
  <c r="G37" s="1"/>
  <c r="E45"/>
  <c r="G45" s="1"/>
  <c r="E20"/>
  <c r="E9"/>
  <c r="G9" s="1"/>
  <c r="Z9" s="1"/>
  <c r="F78"/>
  <c r="F54"/>
  <c r="G54" s="1"/>
  <c r="F37"/>
  <c r="I59"/>
  <c r="I61" s="1"/>
  <c r="I62" s="1"/>
  <c r="U88"/>
  <c r="U89" s="1"/>
  <c r="U91" s="1"/>
  <c r="F51" i="6"/>
  <c r="G51" s="1"/>
  <c r="F51" i="2"/>
  <c r="G51" s="1"/>
  <c r="I52" s="1"/>
  <c r="I53" s="1"/>
  <c r="F19"/>
  <c r="G19" s="1"/>
  <c r="E51"/>
  <c r="E19"/>
  <c r="F94"/>
  <c r="G94" s="1"/>
  <c r="R95" s="1"/>
  <c r="E51" i="6"/>
  <c r="F19"/>
  <c r="G19" s="1"/>
  <c r="E94" i="2"/>
  <c r="E19" i="6"/>
  <c r="X5"/>
  <c r="Y5"/>
  <c r="I40"/>
  <c r="I41" s="1"/>
  <c r="T49"/>
  <c r="I75"/>
  <c r="Z48"/>
  <c r="I48"/>
  <c r="I49" s="1"/>
  <c r="L48"/>
  <c r="K48"/>
  <c r="I28"/>
  <c r="Q32" i="2"/>
  <c r="Q33" s="1"/>
  <c r="Q34" s="1"/>
  <c r="Z11"/>
  <c r="N87"/>
  <c r="N88" s="1"/>
  <c r="N89" s="1"/>
  <c r="N90" s="1"/>
  <c r="Z87"/>
  <c r="I74"/>
  <c r="I75" s="1"/>
  <c r="I77" s="1"/>
  <c r="K88"/>
  <c r="Z88"/>
  <c r="X94"/>
  <c r="Y94"/>
  <c r="L87"/>
  <c r="L88" s="1"/>
  <c r="L89" s="1"/>
  <c r="L90" s="1"/>
  <c r="L91" s="1"/>
  <c r="L92" s="1"/>
  <c r="L93" s="1"/>
  <c r="Q40"/>
  <c r="Q41" s="1"/>
  <c r="I40"/>
  <c r="I41" s="1"/>
  <c r="I43" s="1"/>
  <c r="I68"/>
  <c r="X18"/>
  <c r="Y19" s="1"/>
  <c r="U49"/>
  <c r="T13"/>
  <c r="U13"/>
  <c r="Y6"/>
  <c r="X6"/>
  <c r="Y7" s="1"/>
  <c r="K32"/>
  <c r="Z33" s="1"/>
  <c r="K12"/>
  <c r="Z13" s="1"/>
  <c r="Y5"/>
  <c r="L12"/>
  <c r="O34" i="1"/>
  <c r="C35"/>
  <c r="P34"/>
  <c r="D35"/>
  <c r="S34"/>
  <c r="G35"/>
  <c r="N34"/>
  <c r="J35"/>
  <c r="K35" s="1"/>
  <c r="N12" i="2"/>
  <c r="I12"/>
  <c r="I13" s="1"/>
  <c r="I28"/>
  <c r="I16"/>
  <c r="T42" i="1"/>
  <c r="R51"/>
  <c r="Q38"/>
  <c r="I24" i="2"/>
  <c r="I25" s="1"/>
  <c r="Q47" i="1"/>
  <c r="E70" s="1"/>
  <c r="Q46"/>
  <c r="E69" s="1"/>
  <c r="O45"/>
  <c r="O47"/>
  <c r="E71"/>
  <c r="N114" i="13" l="1"/>
  <c r="A114"/>
  <c r="Z98"/>
  <c r="K98"/>
  <c r="K105"/>
  <c r="Z105"/>
  <c r="Z114"/>
  <c r="K114"/>
  <c r="A140"/>
  <c r="N140"/>
  <c r="K130"/>
  <c r="Z130"/>
  <c r="K147"/>
  <c r="Z147"/>
  <c r="N88"/>
  <c r="A88"/>
  <c r="K155"/>
  <c r="Z155"/>
  <c r="K139"/>
  <c r="Z139"/>
  <c r="K122"/>
  <c r="Z122"/>
  <c r="Z87"/>
  <c r="K87"/>
  <c r="Z79"/>
  <c r="K79"/>
  <c r="Z70"/>
  <c r="K70"/>
  <c r="Z46"/>
  <c r="K46"/>
  <c r="N63"/>
  <c r="A63"/>
  <c r="K53"/>
  <c r="Z53"/>
  <c r="K62"/>
  <c r="Z62"/>
  <c r="Z37"/>
  <c r="K37"/>
  <c r="K28"/>
  <c r="Z28"/>
  <c r="N39"/>
  <c r="A39"/>
  <c r="Z20"/>
  <c r="K20"/>
  <c r="Y7"/>
  <c r="X7"/>
  <c r="K10"/>
  <c r="Z10"/>
  <c r="B8"/>
  <c r="AA7"/>
  <c r="A11"/>
  <c r="N11"/>
  <c r="K104" i="12"/>
  <c r="Z105" s="1"/>
  <c r="N151"/>
  <c r="A151"/>
  <c r="K149"/>
  <c r="Z149"/>
  <c r="K168"/>
  <c r="Z168"/>
  <c r="K122"/>
  <c r="Z122"/>
  <c r="K140"/>
  <c r="Z140"/>
  <c r="K158"/>
  <c r="Z158"/>
  <c r="A94"/>
  <c r="N94"/>
  <c r="A123"/>
  <c r="N123"/>
  <c r="K113"/>
  <c r="Z113"/>
  <c r="K93"/>
  <c r="Z93"/>
  <c r="Z131"/>
  <c r="K131"/>
  <c r="X7"/>
  <c r="Y8" s="1"/>
  <c r="T150" i="10"/>
  <c r="T151" s="1"/>
  <c r="T152" s="1"/>
  <c r="T153" s="1"/>
  <c r="T154" s="1"/>
  <c r="T155" s="1"/>
  <c r="T156" s="1"/>
  <c r="T157" s="1"/>
  <c r="T158" s="1"/>
  <c r="T159" s="1"/>
  <c r="T160" s="1"/>
  <c r="T161" s="1"/>
  <c r="T162" s="1"/>
  <c r="I150"/>
  <c r="I151" s="1"/>
  <c r="A150"/>
  <c r="U150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I117"/>
  <c r="I118" s="1"/>
  <c r="A117"/>
  <c r="Z64" i="12"/>
  <c r="K64"/>
  <c r="I112" i="11"/>
  <c r="I113" s="1"/>
  <c r="A112"/>
  <c r="A36" i="10"/>
  <c r="I36"/>
  <c r="I37" s="1"/>
  <c r="A92" i="11"/>
  <c r="N92"/>
  <c r="Z50"/>
  <c r="K50"/>
  <c r="I30" i="10"/>
  <c r="I31" s="1"/>
  <c r="T30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U30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A30"/>
  <c r="A111"/>
  <c r="U11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T11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I111"/>
  <c r="I112" s="1"/>
  <c r="I66"/>
  <c r="I67" s="1"/>
  <c r="A66"/>
  <c r="I39" i="11"/>
  <c r="A39"/>
  <c r="I118"/>
  <c r="A118"/>
  <c r="Q53" i="12"/>
  <c r="A53"/>
  <c r="A46"/>
  <c r="I46"/>
  <c r="I47" s="1"/>
  <c r="K7"/>
  <c r="L7"/>
  <c r="L8" s="1"/>
  <c r="L9" s="1"/>
  <c r="L10" s="1"/>
  <c r="L11" s="1"/>
  <c r="Z7"/>
  <c r="I7"/>
  <c r="I8" s="1"/>
  <c r="A7"/>
  <c r="T69" i="10"/>
  <c r="T70" s="1"/>
  <c r="T71" s="1"/>
  <c r="T72" s="1"/>
  <c r="T73" s="1"/>
  <c r="T74" s="1"/>
  <c r="T75" s="1"/>
  <c r="T76" s="1"/>
  <c r="T77" s="1"/>
  <c r="T78" s="1"/>
  <c r="T79" s="1"/>
  <c r="T80" s="1"/>
  <c r="T81" s="1"/>
  <c r="A69"/>
  <c r="U69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I69"/>
  <c r="I70" s="1"/>
  <c r="Q130"/>
  <c r="Q131" s="1"/>
  <c r="Q132" s="1"/>
  <c r="Q133" s="1"/>
  <c r="Q134" s="1"/>
  <c r="Q135" s="1"/>
  <c r="Q136" s="1"/>
  <c r="Q137" s="1"/>
  <c r="A130"/>
  <c r="Z32"/>
  <c r="A32"/>
  <c r="K32"/>
  <c r="K68"/>
  <c r="Z68"/>
  <c r="A68"/>
  <c r="A40" i="11"/>
  <c r="Z40"/>
  <c r="K40"/>
  <c r="A113" i="10"/>
  <c r="Z113"/>
  <c r="K113"/>
  <c r="Q48" i="11"/>
  <c r="Q49" s="1"/>
  <c r="Q50" s="1"/>
  <c r="Q51" s="1"/>
  <c r="Q52" s="1"/>
  <c r="Q53" s="1"/>
  <c r="Q54" s="1"/>
  <c r="Q55" s="1"/>
  <c r="A48"/>
  <c r="A90"/>
  <c r="Q90"/>
  <c r="Q91" s="1"/>
  <c r="Q92" s="1"/>
  <c r="Q93" s="1"/>
  <c r="Q94" s="1"/>
  <c r="Q95" s="1"/>
  <c r="Q96" s="1"/>
  <c r="Q97" s="1"/>
  <c r="Q98" s="1"/>
  <c r="Q99" s="1"/>
  <c r="Q100" s="1"/>
  <c r="Z90"/>
  <c r="Z6" i="12"/>
  <c r="A6"/>
  <c r="Z27"/>
  <c r="K27"/>
  <c r="A27"/>
  <c r="A161" i="11"/>
  <c r="I161"/>
  <c r="I30"/>
  <c r="I31" s="1"/>
  <c r="U30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T30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A30"/>
  <c r="I48" i="10"/>
  <c r="A48"/>
  <c r="A56" i="11"/>
  <c r="I56"/>
  <c r="I57" s="1"/>
  <c r="I34" i="12"/>
  <c r="A34"/>
  <c r="A82" i="11"/>
  <c r="I82"/>
  <c r="I135"/>
  <c r="I136" s="1"/>
  <c r="A135"/>
  <c r="I77" i="10"/>
  <c r="I78" s="1"/>
  <c r="A77"/>
  <c r="K36" i="12"/>
  <c r="Z36"/>
  <c r="I36"/>
  <c r="I37" s="1"/>
  <c r="A36"/>
  <c r="L36"/>
  <c r="L37" s="1"/>
  <c r="L38" s="1"/>
  <c r="L39" s="1"/>
  <c r="L40" s="1"/>
  <c r="L41" s="1"/>
  <c r="L42" s="1"/>
  <c r="L43" s="1"/>
  <c r="L44" s="1"/>
  <c r="U147" i="1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T147"/>
  <c r="T148" s="1"/>
  <c r="T149" s="1"/>
  <c r="T150" s="1"/>
  <c r="T151" s="1"/>
  <c r="T152" s="1"/>
  <c r="T153" s="1"/>
  <c r="T154" s="1"/>
  <c r="T155" s="1"/>
  <c r="T156" s="1"/>
  <c r="T157" s="1"/>
  <c r="T158" s="1"/>
  <c r="T159" s="1"/>
  <c r="I147"/>
  <c r="I148" s="1"/>
  <c r="A147"/>
  <c r="A114" i="10"/>
  <c r="I114"/>
  <c r="I115" s="1"/>
  <c r="Z86" i="11"/>
  <c r="A86"/>
  <c r="R130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A130"/>
  <c r="I27" i="9"/>
  <c r="I28" s="1"/>
  <c r="O117" i="10"/>
  <c r="O118" s="1"/>
  <c r="O119" s="1"/>
  <c r="O120" s="1"/>
  <c r="O121" s="1"/>
  <c r="O122" s="1"/>
  <c r="L68" i="1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C11" i="12"/>
  <c r="O101" i="10"/>
  <c r="L99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I103"/>
  <c r="I71" i="12"/>
  <c r="L131" i="1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R18" i="10"/>
  <c r="O21"/>
  <c r="O22" s="1"/>
  <c r="O23" s="1"/>
  <c r="O24" s="1"/>
  <c r="O25" s="1"/>
  <c r="O26" s="1"/>
  <c r="O27" s="1"/>
  <c r="O28" s="1"/>
  <c r="O29" s="1"/>
  <c r="O30" s="1"/>
  <c r="O31" s="1"/>
  <c r="A55" i="12"/>
  <c r="I55"/>
  <c r="I56" s="1"/>
  <c r="I115" i="11"/>
  <c r="I116" s="1"/>
  <c r="A115"/>
  <c r="I36"/>
  <c r="I37" s="1"/>
  <c r="A36"/>
  <c r="A5"/>
  <c r="B5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Z5"/>
  <c r="U42" i="12"/>
  <c r="U43" s="1"/>
  <c r="U44" s="1"/>
  <c r="T42"/>
  <c r="T43" s="1"/>
  <c r="T44" s="1"/>
  <c r="A39" i="10"/>
  <c r="I39"/>
  <c r="A75"/>
  <c r="I75"/>
  <c r="I156"/>
  <c r="A156"/>
  <c r="Q80" i="12"/>
  <c r="Q81" s="1"/>
  <c r="Q82" s="1"/>
  <c r="Q83" s="1"/>
  <c r="Q84" s="1"/>
  <c r="Q85" s="1"/>
  <c r="Q86" s="1"/>
  <c r="Q87" s="1"/>
  <c r="A80"/>
  <c r="A136" i="11"/>
  <c r="Q136"/>
  <c r="Q137" s="1"/>
  <c r="Q138" s="1"/>
  <c r="Q139" s="1"/>
  <c r="Q140" s="1"/>
  <c r="Q141" s="1"/>
  <c r="Q142" s="1"/>
  <c r="Q143" s="1"/>
  <c r="A76"/>
  <c r="I76"/>
  <c r="I77" s="1"/>
  <c r="A158" i="10"/>
  <c r="I158"/>
  <c r="I159" s="1"/>
  <c r="A40"/>
  <c r="K40"/>
  <c r="Z40"/>
  <c r="A32" i="11"/>
  <c r="Z32"/>
  <c r="K32"/>
  <c r="A76" i="10"/>
  <c r="Z76"/>
  <c r="K76"/>
  <c r="A23"/>
  <c r="K23"/>
  <c r="Z23"/>
  <c r="Z72" i="12"/>
  <c r="K72"/>
  <c r="A72"/>
  <c r="K137" i="11"/>
  <c r="A137"/>
  <c r="Z137"/>
  <c r="Q83"/>
  <c r="Q84" s="1"/>
  <c r="Q85" s="1"/>
  <c r="Q86" s="1"/>
  <c r="Q87" s="1"/>
  <c r="Q88" s="1"/>
  <c r="A83"/>
  <c r="Z83"/>
  <c r="A75"/>
  <c r="Z75"/>
  <c r="K75"/>
  <c r="A154"/>
  <c r="K154"/>
  <c r="Z154"/>
  <c r="Z10"/>
  <c r="A10"/>
  <c r="I84" i="10"/>
  <c r="A84"/>
  <c r="A52" i="12"/>
  <c r="I52"/>
  <c r="I53" s="1"/>
  <c r="I47" i="11"/>
  <c r="A47"/>
  <c r="I25" i="12"/>
  <c r="I26" s="1"/>
  <c r="A25"/>
  <c r="A61"/>
  <c r="I61"/>
  <c r="I65" i="11"/>
  <c r="I66" s="1"/>
  <c r="A65"/>
  <c r="U109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I109"/>
  <c r="I110" s="1"/>
  <c r="T109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A109"/>
  <c r="A158"/>
  <c r="I158"/>
  <c r="Z8"/>
  <c r="A8"/>
  <c r="Z87"/>
  <c r="A87"/>
  <c r="R5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A51"/>
  <c r="Z85"/>
  <c r="A85"/>
  <c r="L150" i="10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R34" i="11"/>
  <c r="R35" s="1"/>
  <c r="R36" s="1"/>
  <c r="R37" s="1"/>
  <c r="R38" s="1"/>
  <c r="R39" s="1"/>
  <c r="R40" s="1"/>
  <c r="R41" s="1"/>
  <c r="R42" s="1"/>
  <c r="G12" i="12"/>
  <c r="L96" i="1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G15" i="12"/>
  <c r="I17"/>
  <c r="O125" i="1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R99" i="10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68" i="12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B5" i="10"/>
  <c r="A5"/>
  <c r="O48" i="1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I150"/>
  <c r="I151" s="1"/>
  <c r="A150"/>
  <c r="A68"/>
  <c r="T68"/>
  <c r="T69" s="1"/>
  <c r="T70" s="1"/>
  <c r="T71" s="1"/>
  <c r="T72" s="1"/>
  <c r="T73" s="1"/>
  <c r="T74" s="1"/>
  <c r="T75" s="1"/>
  <c r="T76" s="1"/>
  <c r="T77" s="1"/>
  <c r="T78" s="1"/>
  <c r="T79" s="1"/>
  <c r="T80" s="1"/>
  <c r="I68"/>
  <c r="I69" s="1"/>
  <c r="U68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A161" i="10"/>
  <c r="I161"/>
  <c r="A155" i="11"/>
  <c r="I155"/>
  <c r="I156" s="1"/>
  <c r="A122" i="10"/>
  <c r="I122"/>
  <c r="I123" s="1"/>
  <c r="Z92" i="11"/>
  <c r="K92"/>
  <c r="A38" i="12"/>
  <c r="N38"/>
  <c r="B6"/>
  <c r="AA5"/>
  <c r="Z9" i="11"/>
  <c r="A9"/>
  <c r="A26" i="12"/>
  <c r="Q26"/>
  <c r="Q27" s="1"/>
  <c r="Q28" s="1"/>
  <c r="Q29" s="1"/>
  <c r="Q30" s="1"/>
  <c r="Q31" s="1"/>
  <c r="Q32" s="1"/>
  <c r="Q33" s="1"/>
  <c r="A41" i="11"/>
  <c r="I41"/>
  <c r="I42" s="1"/>
  <c r="A79"/>
  <c r="I79"/>
  <c r="Q49" i="10"/>
  <c r="Q50" s="1"/>
  <c r="Q51" s="1"/>
  <c r="Q52" s="1"/>
  <c r="Q53" s="1"/>
  <c r="Q54" s="1"/>
  <c r="Q55" s="1"/>
  <c r="Q56" s="1"/>
  <c r="A49"/>
  <c r="Z149"/>
  <c r="K149"/>
  <c r="A149"/>
  <c r="Q92"/>
  <c r="Q93" s="1"/>
  <c r="Q94" s="1"/>
  <c r="Q95" s="1"/>
  <c r="Q96" s="1"/>
  <c r="Q97" s="1"/>
  <c r="Q98" s="1"/>
  <c r="Q99" s="1"/>
  <c r="Q100" s="1"/>
  <c r="Q101" s="1"/>
  <c r="Q102" s="1"/>
  <c r="A92"/>
  <c r="Z92"/>
  <c r="A157"/>
  <c r="Z157"/>
  <c r="K157"/>
  <c r="A67" i="11"/>
  <c r="Z67"/>
  <c r="K67"/>
  <c r="Z111"/>
  <c r="K111"/>
  <c r="A111"/>
  <c r="K58"/>
  <c r="A58"/>
  <c r="Z58"/>
  <c r="A127"/>
  <c r="Q127"/>
  <c r="Q128" s="1"/>
  <c r="Q129" s="1"/>
  <c r="Q130" s="1"/>
  <c r="Q131" s="1"/>
  <c r="Q132" s="1"/>
  <c r="Q133" s="1"/>
  <c r="Q134" s="1"/>
  <c r="Z146"/>
  <c r="A146"/>
  <c r="K146"/>
  <c r="A129" i="10"/>
  <c r="I129"/>
  <c r="A165"/>
  <c r="I165"/>
  <c r="A144" i="11"/>
  <c r="I144"/>
  <c r="I145" s="1"/>
  <c r="A80" i="10"/>
  <c r="I80"/>
  <c r="A72"/>
  <c r="I72"/>
  <c r="I73" s="1"/>
  <c r="K129" i="11"/>
  <c r="Z129"/>
  <c r="A65" i="12"/>
  <c r="N65"/>
  <c r="Z7" i="11"/>
  <c r="A7"/>
  <c r="R52" i="10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A52"/>
  <c r="I84" i="11"/>
  <c r="I85" s="1"/>
  <c r="I86" s="1"/>
  <c r="Z84"/>
  <c r="A84"/>
  <c r="I25" i="6"/>
  <c r="Q29" i="11"/>
  <c r="Q30" s="1"/>
  <c r="Q78" i="12"/>
  <c r="O1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G54"/>
  <c r="I22" i="11"/>
  <c r="I44" i="12"/>
  <c r="I101" i="11"/>
  <c r="O20" i="10"/>
  <c r="R41" i="12"/>
  <c r="R42" s="1"/>
  <c r="R43" s="1"/>
  <c r="R44" s="1"/>
  <c r="R10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A127" i="10"/>
  <c r="O127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A71" i="11"/>
  <c r="I71"/>
  <c r="I72" s="1"/>
  <c r="A33" i="10"/>
  <c r="I33"/>
  <c r="I34" s="1"/>
  <c r="A147"/>
  <c r="I147"/>
  <c r="I148" s="1"/>
  <c r="Z88" i="11"/>
  <c r="A88"/>
  <c r="A120" i="10"/>
  <c r="I120"/>
  <c r="A139"/>
  <c r="Q139"/>
  <c r="Q140" s="1"/>
  <c r="Q141" s="1"/>
  <c r="Q142" s="1"/>
  <c r="Q143" s="1"/>
  <c r="Q144" s="1"/>
  <c r="Q145" s="1"/>
  <c r="Q146" s="1"/>
  <c r="Q58"/>
  <c r="Q59" s="1"/>
  <c r="Q60" s="1"/>
  <c r="Q61" s="1"/>
  <c r="Q62" s="1"/>
  <c r="Q63" s="1"/>
  <c r="Q64" s="1"/>
  <c r="Q65" s="1"/>
  <c r="A58"/>
  <c r="Q57" i="11"/>
  <c r="Q58" s="1"/>
  <c r="Q59" s="1"/>
  <c r="Q60" s="1"/>
  <c r="Q61" s="1"/>
  <c r="Q62" s="1"/>
  <c r="Q63" s="1"/>
  <c r="Q64" s="1"/>
  <c r="A57"/>
  <c r="A74"/>
  <c r="I74"/>
  <c r="A153"/>
  <c r="I153"/>
  <c r="A41" i="10"/>
  <c r="I41"/>
  <c r="I42" s="1"/>
  <c r="A153"/>
  <c r="I153"/>
  <c r="I154" s="1"/>
  <c r="A9" i="12"/>
  <c r="N9"/>
  <c r="A104" i="10"/>
  <c r="Z104"/>
  <c r="K104"/>
  <c r="A140"/>
  <c r="Z140"/>
  <c r="K140"/>
  <c r="Z11" i="11"/>
  <c r="Q11"/>
  <c r="Q12" s="1"/>
  <c r="Q13" s="1"/>
  <c r="Q14" s="1"/>
  <c r="Q15" s="1"/>
  <c r="Q16" s="1"/>
  <c r="Q17" s="1"/>
  <c r="Q18" s="1"/>
  <c r="Q19" s="1"/>
  <c r="Q20" s="1"/>
  <c r="A11"/>
  <c r="Z23"/>
  <c r="A23"/>
  <c r="K23"/>
  <c r="Z59" i="10"/>
  <c r="K59"/>
  <c r="A59"/>
  <c r="K121"/>
  <c r="Z121"/>
  <c r="A121"/>
  <c r="K102" i="11"/>
  <c r="Z102"/>
  <c r="A102"/>
  <c r="Z119"/>
  <c r="K119"/>
  <c r="A119"/>
  <c r="A18" i="12"/>
  <c r="Z18"/>
  <c r="K18"/>
  <c r="Z81"/>
  <c r="K81"/>
  <c r="A81"/>
  <c r="A57" i="10"/>
  <c r="I57"/>
  <c r="I58" s="1"/>
  <c r="I138"/>
  <c r="I139" s="1"/>
  <c r="A138"/>
  <c r="A89" i="11"/>
  <c r="Z89"/>
  <c r="I89"/>
  <c r="I126"/>
  <c r="A126"/>
  <c r="A79" i="12"/>
  <c r="I79"/>
  <c r="I80" s="1"/>
  <c r="I88"/>
  <c r="A88"/>
  <c r="A33" i="11"/>
  <c r="I33"/>
  <c r="I34" s="1"/>
  <c r="I120"/>
  <c r="I121" s="1"/>
  <c r="A120"/>
  <c r="Z6"/>
  <c r="A6"/>
  <c r="R133" i="10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A133"/>
  <c r="I33" i="7"/>
  <c r="O121" i="11"/>
  <c r="O122" s="1"/>
  <c r="O46" i="10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T11" i="12"/>
  <c r="T12" s="1"/>
  <c r="T13" s="1"/>
  <c r="T14" s="1"/>
  <c r="T15" s="1"/>
  <c r="T16" s="1"/>
  <c r="T17" s="1"/>
  <c r="T18" s="1"/>
  <c r="T19" s="1"/>
  <c r="U1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Q24"/>
  <c r="G45"/>
  <c r="I22" i="10"/>
  <c r="I11" i="12"/>
  <c r="L53" i="10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O20" i="1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R96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G48" i="12"/>
  <c r="A48" s="1"/>
  <c r="X86" i="11"/>
  <c r="Y86"/>
  <c r="X50"/>
  <c r="Y50"/>
  <c r="K133" i="10"/>
  <c r="Z133"/>
  <c r="X95"/>
  <c r="Y95"/>
  <c r="Z95"/>
  <c r="K95"/>
  <c r="N95"/>
  <c r="A95"/>
  <c r="Y101"/>
  <c r="X101"/>
  <c r="Y22" i="11"/>
  <c r="X22"/>
  <c r="Y19"/>
  <c r="K14"/>
  <c r="Z14"/>
  <c r="N14"/>
  <c r="A14"/>
  <c r="Y6"/>
  <c r="X24" i="10"/>
  <c r="Y24"/>
  <c r="Z52"/>
  <c r="K52"/>
  <c r="X5"/>
  <c r="L94" i="2"/>
  <c r="Z57" i="6"/>
  <c r="T91"/>
  <c r="O22" i="9"/>
  <c r="O23" s="1"/>
  <c r="O24" s="1"/>
  <c r="I90" i="6"/>
  <c r="L90"/>
  <c r="U90"/>
  <c r="L91"/>
  <c r="K73"/>
  <c r="N91"/>
  <c r="N92" s="1"/>
  <c r="N93" s="1"/>
  <c r="N94" s="1"/>
  <c r="K91"/>
  <c r="K92" s="1"/>
  <c r="K93" s="1"/>
  <c r="K94" s="1"/>
  <c r="Z122" i="9"/>
  <c r="Q14" i="10"/>
  <c r="Q15" s="1"/>
  <c r="Q16" s="1"/>
  <c r="Q17" s="1"/>
  <c r="Q18" s="1"/>
  <c r="L14"/>
  <c r="L15" s="1"/>
  <c r="L16" s="1"/>
  <c r="L17" s="1"/>
  <c r="L18" s="1"/>
  <c r="A14"/>
  <c r="N13" i="7"/>
  <c r="A13"/>
  <c r="Q66"/>
  <c r="Q67" s="1"/>
  <c r="Q68" s="1"/>
  <c r="Q69" s="1"/>
  <c r="Q70" s="1"/>
  <c r="Q71" s="1"/>
  <c r="Q72" s="1"/>
  <c r="Q73" s="1"/>
  <c r="Q74" s="1"/>
  <c r="Q75" s="1"/>
  <c r="A66"/>
  <c r="I118"/>
  <c r="A118"/>
  <c r="Q136"/>
  <c r="Q137" s="1"/>
  <c r="Q138" s="1"/>
  <c r="Q139" s="1"/>
  <c r="Q140" s="1"/>
  <c r="Q141" s="1"/>
  <c r="Q142" s="1"/>
  <c r="Q143" s="1"/>
  <c r="A136"/>
  <c r="Q145"/>
  <c r="A145"/>
  <c r="Q127"/>
  <c r="Q128" s="1"/>
  <c r="Q129" s="1"/>
  <c r="Q130" s="1"/>
  <c r="Q131" s="1"/>
  <c r="Q132" s="1"/>
  <c r="Q133" s="1"/>
  <c r="Q134" s="1"/>
  <c r="A127"/>
  <c r="I47"/>
  <c r="A47"/>
  <c r="I65"/>
  <c r="I66" s="1"/>
  <c r="A65"/>
  <c r="I144"/>
  <c r="A144"/>
  <c r="I112"/>
  <c r="I113" s="1"/>
  <c r="A112"/>
  <c r="I71"/>
  <c r="A71"/>
  <c r="I158"/>
  <c r="A158"/>
  <c r="I104" i="9"/>
  <c r="A104"/>
  <c r="Z6" i="10"/>
  <c r="A6"/>
  <c r="B6" s="1"/>
  <c r="Z7"/>
  <c r="A7"/>
  <c r="O117" i="9"/>
  <c r="A117"/>
  <c r="A41"/>
  <c r="I34" i="7"/>
  <c r="A34"/>
  <c r="Z9" i="10"/>
  <c r="A9"/>
  <c r="I38" i="9"/>
  <c r="A38"/>
  <c r="I93" i="6"/>
  <c r="L51" i="7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Z9"/>
  <c r="A9"/>
  <c r="Z32"/>
  <c r="A32"/>
  <c r="I115"/>
  <c r="A115"/>
  <c r="Z88"/>
  <c r="A88"/>
  <c r="Q110"/>
  <c r="A110"/>
  <c r="I126"/>
  <c r="A126"/>
  <c r="I150"/>
  <c r="A150"/>
  <c r="R5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A51"/>
  <c r="I35" i="9"/>
  <c r="A35"/>
  <c r="R42"/>
  <c r="R43" s="1"/>
  <c r="R44" s="1"/>
  <c r="R45" s="1"/>
  <c r="R46" s="1"/>
  <c r="R47" s="1"/>
  <c r="R48" s="1"/>
  <c r="R49" s="1"/>
  <c r="R50" s="1"/>
  <c r="A42"/>
  <c r="I42" i="7"/>
  <c r="A42"/>
  <c r="I142" i="9"/>
  <c r="A142"/>
  <c r="I135"/>
  <c r="A135"/>
  <c r="I55"/>
  <c r="A55"/>
  <c r="I63"/>
  <c r="A63"/>
  <c r="Z10" i="10"/>
  <c r="A10"/>
  <c r="I76" i="7"/>
  <c r="I77" s="1"/>
  <c r="A76"/>
  <c r="I40" i="9"/>
  <c r="I41" s="1"/>
  <c r="A40"/>
  <c r="Z10" i="7"/>
  <c r="A10"/>
  <c r="I155"/>
  <c r="I156" s="1"/>
  <c r="A155"/>
  <c r="O125"/>
  <c r="O126" s="1"/>
  <c r="A125"/>
  <c r="Q101"/>
  <c r="Q102" s="1"/>
  <c r="Q103" s="1"/>
  <c r="Q104" s="1"/>
  <c r="Q105" s="1"/>
  <c r="Q106" s="1"/>
  <c r="Q107" s="1"/>
  <c r="Q108" s="1"/>
  <c r="A101"/>
  <c r="I74"/>
  <c r="A74"/>
  <c r="Q48"/>
  <c r="Q49" s="1"/>
  <c r="Q50" s="1"/>
  <c r="Q51" s="1"/>
  <c r="Q52" s="1"/>
  <c r="Q53" s="1"/>
  <c r="Q54" s="1"/>
  <c r="Q55" s="1"/>
  <c r="A48"/>
  <c r="I79"/>
  <c r="A79"/>
  <c r="I56"/>
  <c r="A56"/>
  <c r="Z10" i="9"/>
  <c r="A10"/>
  <c r="R130" i="7"/>
  <c r="A130"/>
  <c r="I107" i="9"/>
  <c r="A107"/>
  <c r="Z155"/>
  <c r="A155"/>
  <c r="I32"/>
  <c r="A32"/>
  <c r="Z83"/>
  <c r="A83"/>
  <c r="I127"/>
  <c r="A127"/>
  <c r="I70"/>
  <c r="A70"/>
  <c r="Q120"/>
  <c r="Q121" s="1"/>
  <c r="Q122" s="1"/>
  <c r="A120"/>
  <c r="Q48"/>
  <c r="Q49" s="1"/>
  <c r="Q50" s="1"/>
  <c r="A48"/>
  <c r="I77"/>
  <c r="A77"/>
  <c r="I47"/>
  <c r="A47"/>
  <c r="Z84"/>
  <c r="A84"/>
  <c r="Z11"/>
  <c r="Q22" i="7"/>
  <c r="A22"/>
  <c r="Q11"/>
  <c r="Q12" s="1"/>
  <c r="Q13" s="1"/>
  <c r="A11"/>
  <c r="I28"/>
  <c r="A28"/>
  <c r="Z9" i="9"/>
  <c r="A9"/>
  <c r="Q57" i="7"/>
  <c r="Q58" s="1"/>
  <c r="Q59" s="1"/>
  <c r="Q60" s="1"/>
  <c r="A57"/>
  <c r="I153"/>
  <c r="A153"/>
  <c r="I120"/>
  <c r="I121" s="1"/>
  <c r="A120"/>
  <c r="I135"/>
  <c r="A135"/>
  <c r="I82"/>
  <c r="A82"/>
  <c r="I161"/>
  <c r="A161"/>
  <c r="R114" i="9"/>
  <c r="R115" s="1"/>
  <c r="R116" s="1"/>
  <c r="R117" s="1"/>
  <c r="R118" s="1"/>
  <c r="R119" s="1"/>
  <c r="R120" s="1"/>
  <c r="R121" s="1"/>
  <c r="R122" s="1"/>
  <c r="A114"/>
  <c r="I112"/>
  <c r="I113" s="1"/>
  <c r="A112"/>
  <c r="Z8" i="10"/>
  <c r="A8"/>
  <c r="U85"/>
  <c r="O45" i="9"/>
  <c r="O46" s="1"/>
  <c r="O47" s="1"/>
  <c r="O48" s="1"/>
  <c r="O49" s="1"/>
  <c r="O50" s="1"/>
  <c r="A45"/>
  <c r="Z90" i="10"/>
  <c r="A90"/>
  <c r="I110" i="9"/>
  <c r="A110"/>
  <c r="Z156"/>
  <c r="A156"/>
  <c r="I119"/>
  <c r="A119"/>
  <c r="I149"/>
  <c r="A149"/>
  <c r="G40" i="7"/>
  <c r="A40" s="1"/>
  <c r="O118" i="9"/>
  <c r="O119" s="1"/>
  <c r="O120" s="1"/>
  <c r="O121" s="1"/>
  <c r="O122" s="1"/>
  <c r="Z92" i="7"/>
  <c r="I59" i="6"/>
  <c r="L130" i="7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I36" i="9"/>
  <c r="R19" i="7"/>
  <c r="R20" s="1"/>
  <c r="R21" s="1"/>
  <c r="R22" s="1"/>
  <c r="B8" i="2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Q91" i="6"/>
  <c r="Q92" s="1"/>
  <c r="Q93" s="1"/>
  <c r="Q94" s="1"/>
  <c r="Q95" s="1"/>
  <c r="Q96" s="1"/>
  <c r="Q97" s="1"/>
  <c r="L49"/>
  <c r="I136" i="7"/>
  <c r="K56" i="9"/>
  <c r="Z56"/>
  <c r="I91" i="10"/>
  <c r="Z91"/>
  <c r="E74" i="9"/>
  <c r="G74" s="1"/>
  <c r="A74" s="1"/>
  <c r="E79"/>
  <c r="G79" s="1"/>
  <c r="E81"/>
  <c r="G81" s="1"/>
  <c r="F86" i="10"/>
  <c r="E87"/>
  <c r="G87" s="1"/>
  <c r="F51" i="9"/>
  <c r="F82"/>
  <c r="E86" i="10"/>
  <c r="G86" s="1"/>
  <c r="A86" s="1"/>
  <c r="F88"/>
  <c r="E51" i="9"/>
  <c r="G51" s="1"/>
  <c r="Z51" s="1"/>
  <c r="F59"/>
  <c r="F80"/>
  <c r="E82"/>
  <c r="G82" s="1"/>
  <c r="E88" i="10"/>
  <c r="G88" s="1"/>
  <c r="F89"/>
  <c r="E153" i="9"/>
  <c r="G153" s="1"/>
  <c r="F152"/>
  <c r="E59"/>
  <c r="G59" s="1"/>
  <c r="A59" s="1"/>
  <c r="E89" i="10"/>
  <c r="G89" s="1"/>
  <c r="F154" i="9"/>
  <c r="E151"/>
  <c r="G151" s="1"/>
  <c r="F146"/>
  <c r="E131"/>
  <c r="G131" s="1"/>
  <c r="A131" s="1"/>
  <c r="E123"/>
  <c r="G123" s="1"/>
  <c r="A123" s="1"/>
  <c r="F106"/>
  <c r="G106" s="1"/>
  <c r="A106" s="1"/>
  <c r="F98"/>
  <c r="F74"/>
  <c r="E80"/>
  <c r="G80" s="1"/>
  <c r="F153"/>
  <c r="F79"/>
  <c r="F81"/>
  <c r="F87" i="10"/>
  <c r="E152" i="9"/>
  <c r="G152" s="1"/>
  <c r="F151"/>
  <c r="F131"/>
  <c r="F123"/>
  <c r="E154"/>
  <c r="G154" s="1"/>
  <c r="E146"/>
  <c r="G146" s="1"/>
  <c r="A146" s="1"/>
  <c r="E106"/>
  <c r="E98"/>
  <c r="G98" s="1"/>
  <c r="A98" s="1"/>
  <c r="K128"/>
  <c r="Z128"/>
  <c r="Z71"/>
  <c r="K71"/>
  <c r="Z143"/>
  <c r="K143"/>
  <c r="Q78"/>
  <c r="Z78"/>
  <c r="Z39"/>
  <c r="K39"/>
  <c r="T14" i="6"/>
  <c r="T15" s="1"/>
  <c r="T16" s="1"/>
  <c r="T17" s="1"/>
  <c r="Z88"/>
  <c r="Z91"/>
  <c r="U9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N13" i="9"/>
  <c r="A14" s="1"/>
  <c r="R88"/>
  <c r="R89" s="1"/>
  <c r="R90" s="1"/>
  <c r="R91" s="1"/>
  <c r="R92" s="1"/>
  <c r="R93" s="1"/>
  <c r="R94" s="1"/>
  <c r="R95" s="1"/>
  <c r="R96" s="1"/>
  <c r="R97" s="1"/>
  <c r="Q19" i="10"/>
  <c r="Q20" s="1"/>
  <c r="Q21" s="1"/>
  <c r="R19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I33" i="9"/>
  <c r="P47" i="1"/>
  <c r="K136" i="9"/>
  <c r="Z136"/>
  <c r="Y97" i="7"/>
  <c r="X97"/>
  <c r="C5" i="10"/>
  <c r="Z5"/>
  <c r="U30" i="9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T30"/>
  <c r="T31" s="1"/>
  <c r="T32" s="1"/>
  <c r="T33" s="1"/>
  <c r="T34" s="1"/>
  <c r="T35" s="1"/>
  <c r="T36" s="1"/>
  <c r="T37" s="1"/>
  <c r="T38" s="1"/>
  <c r="T39" s="1"/>
  <c r="T40" s="1"/>
  <c r="T41" s="1"/>
  <c r="T42" s="1"/>
  <c r="I30"/>
  <c r="Q85"/>
  <c r="Q86" s="1"/>
  <c r="Q87" s="1"/>
  <c r="Q88" s="1"/>
  <c r="Q89" s="1"/>
  <c r="Q90" s="1"/>
  <c r="Q91" s="1"/>
  <c r="Q92" s="1"/>
  <c r="Z85"/>
  <c r="I85"/>
  <c r="I86" s="1"/>
  <c r="N85"/>
  <c r="A86" s="1"/>
  <c r="L85"/>
  <c r="L86" s="1"/>
  <c r="L87" s="1"/>
  <c r="L88" s="1"/>
  <c r="L89" s="1"/>
  <c r="L90" s="1"/>
  <c r="L91" s="1"/>
  <c r="L92" s="1"/>
  <c r="L93" s="1"/>
  <c r="L94" s="1"/>
  <c r="L95" s="1"/>
  <c r="L96" s="1"/>
  <c r="L97" s="1"/>
  <c r="K85"/>
  <c r="Z31"/>
  <c r="K31"/>
  <c r="O46" i="1"/>
  <c r="X19" i="2"/>
  <c r="Y20" s="1"/>
  <c r="Q82" i="6"/>
  <c r="Q83" s="1"/>
  <c r="Q84" s="1"/>
  <c r="Q85" s="1"/>
  <c r="Q86" s="1"/>
  <c r="Z11" i="7"/>
  <c r="U13" i="6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T92"/>
  <c r="T93" s="1"/>
  <c r="T94" s="1"/>
  <c r="T95" s="1"/>
  <c r="T96" s="1"/>
  <c r="T97" s="1"/>
  <c r="T98" s="1"/>
  <c r="T99" s="1"/>
  <c r="T100" s="1"/>
  <c r="T101" s="1"/>
  <c r="T102" s="1"/>
  <c r="T103" s="1"/>
  <c r="I53"/>
  <c r="L93" i="7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9" i="10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85"/>
  <c r="Q150" i="9"/>
  <c r="Z150"/>
  <c r="Z95"/>
  <c r="K95"/>
  <c r="Z64"/>
  <c r="K64"/>
  <c r="Q85" i="10"/>
  <c r="Z85"/>
  <c r="L92" i="6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O127" i="7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I57"/>
  <c r="N14" i="10"/>
  <c r="A15" s="1"/>
  <c r="X6"/>
  <c r="Y6"/>
  <c r="X18"/>
  <c r="Y18"/>
  <c r="Z14"/>
  <c r="K14"/>
  <c r="K103" i="9"/>
  <c r="Z103"/>
  <c r="K111"/>
  <c r="Z111"/>
  <c r="I105"/>
  <c r="I108"/>
  <c r="T102"/>
  <c r="T103" s="1"/>
  <c r="T104" s="1"/>
  <c r="T105" s="1"/>
  <c r="U102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I102"/>
  <c r="Y95"/>
  <c r="X95"/>
  <c r="K123"/>
  <c r="F25"/>
  <c r="E6"/>
  <c r="G6" s="1"/>
  <c r="E122" i="7"/>
  <c r="G122" s="1"/>
  <c r="A122" s="1"/>
  <c r="E87"/>
  <c r="G87" s="1"/>
  <c r="F86"/>
  <c r="E157"/>
  <c r="E85"/>
  <c r="G85" s="1"/>
  <c r="E25" i="9"/>
  <c r="G25" s="1"/>
  <c r="E7"/>
  <c r="G7" s="1"/>
  <c r="F6"/>
  <c r="F122" i="7"/>
  <c r="F87"/>
  <c r="E84"/>
  <c r="G84" s="1"/>
  <c r="A84" s="1"/>
  <c r="E78"/>
  <c r="F8" i="9"/>
  <c r="F157" i="7"/>
  <c r="G157" s="1"/>
  <c r="A157" s="1"/>
  <c r="E86"/>
  <c r="G86" s="1"/>
  <c r="F85"/>
  <c r="F78"/>
  <c r="G78" s="1"/>
  <c r="A78" s="1"/>
  <c r="E8" i="9"/>
  <c r="G8" s="1"/>
  <c r="F7"/>
  <c r="F84" i="7"/>
  <c r="T68"/>
  <c r="T69" s="1"/>
  <c r="T70" s="1"/>
  <c r="T71" s="1"/>
  <c r="T72" s="1"/>
  <c r="T73" s="1"/>
  <c r="T74" s="1"/>
  <c r="T75" s="1"/>
  <c r="T76" s="1"/>
  <c r="T77" s="1"/>
  <c r="I68"/>
  <c r="I69" s="1"/>
  <c r="K75"/>
  <c r="Z75"/>
  <c r="K137"/>
  <c r="Z137"/>
  <c r="K146"/>
  <c r="Z146"/>
  <c r="K58"/>
  <c r="Z58"/>
  <c r="Z102"/>
  <c r="K102"/>
  <c r="I109"/>
  <c r="I110" s="1"/>
  <c r="U109"/>
  <c r="U110" s="1"/>
  <c r="U111" s="1"/>
  <c r="U112" s="1"/>
  <c r="U113" s="1"/>
  <c r="U114" s="1"/>
  <c r="U115" s="1"/>
  <c r="U116" s="1"/>
  <c r="U117" s="1"/>
  <c r="U118" s="1"/>
  <c r="U119" s="1"/>
  <c r="U120" s="1"/>
  <c r="U121" s="1"/>
  <c r="T109"/>
  <c r="T110" s="1"/>
  <c r="T111" s="1"/>
  <c r="T112" s="1"/>
  <c r="T113" s="1"/>
  <c r="T114" s="1"/>
  <c r="T115" s="1"/>
  <c r="T116" s="1"/>
  <c r="T117" s="1"/>
  <c r="T118" s="1"/>
  <c r="T119" s="1"/>
  <c r="T120" s="1"/>
  <c r="T121" s="1"/>
  <c r="C5" i="9"/>
  <c r="Z5"/>
  <c r="R131" i="7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I107" i="6"/>
  <c r="I108" s="1"/>
  <c r="I110" s="1"/>
  <c r="I111" s="1"/>
  <c r="Z13"/>
  <c r="I82"/>
  <c r="I83" s="1"/>
  <c r="I84" s="1"/>
  <c r="L13"/>
  <c r="E8" i="7"/>
  <c r="G8" s="1"/>
  <c r="I145"/>
  <c r="I151"/>
  <c r="I147"/>
  <c r="I148" s="1"/>
  <c r="T147"/>
  <c r="T148" s="1"/>
  <c r="T149" s="1"/>
  <c r="T150" s="1"/>
  <c r="T151" s="1"/>
  <c r="T152" s="1"/>
  <c r="T153" s="1"/>
  <c r="T154" s="1"/>
  <c r="T155" s="1"/>
  <c r="T156" s="1"/>
  <c r="T157" s="1"/>
  <c r="T158" s="1"/>
  <c r="T159" s="1"/>
  <c r="U147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Z22" i="9"/>
  <c r="K22"/>
  <c r="Z111" i="7"/>
  <c r="K111"/>
  <c r="Q83"/>
  <c r="Z83"/>
  <c r="R97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O99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I72"/>
  <c r="R15" i="9"/>
  <c r="R16" s="1"/>
  <c r="R17" s="1"/>
  <c r="R18" s="1"/>
  <c r="R19" s="1"/>
  <c r="R20" s="1"/>
  <c r="R21" s="1"/>
  <c r="R22" s="1"/>
  <c r="R23" s="1"/>
  <c r="R24" s="1"/>
  <c r="I72" i="2"/>
  <c r="Z13" i="7"/>
  <c r="G38"/>
  <c r="A38" s="1"/>
  <c r="G39"/>
  <c r="F6"/>
  <c r="Q14" i="9"/>
  <c r="Q15" s="1"/>
  <c r="Q16" s="1"/>
  <c r="Q17" s="1"/>
  <c r="Q18" s="1"/>
  <c r="Q19" s="1"/>
  <c r="I116" i="7"/>
  <c r="Q61"/>
  <c r="Q62" s="1"/>
  <c r="Q63" s="1"/>
  <c r="Q64" s="1"/>
  <c r="I101"/>
  <c r="Z90"/>
  <c r="Q90"/>
  <c r="Q91" s="1"/>
  <c r="Q92" s="1"/>
  <c r="Q93" s="1"/>
  <c r="Q94" s="1"/>
  <c r="Q95" s="1"/>
  <c r="Q96" s="1"/>
  <c r="Q97" s="1"/>
  <c r="Q98" s="1"/>
  <c r="Q99" s="1"/>
  <c r="K154"/>
  <c r="Z154"/>
  <c r="K67"/>
  <c r="Z67"/>
  <c r="Z119"/>
  <c r="K119"/>
  <c r="Z89"/>
  <c r="I89"/>
  <c r="F8"/>
  <c r="R96" i="2"/>
  <c r="R97" s="1"/>
  <c r="Q58" i="6"/>
  <c r="Q59" s="1"/>
  <c r="Q60" s="1"/>
  <c r="Q61" s="1"/>
  <c r="Q62" s="1"/>
  <c r="Q63" s="1"/>
  <c r="Q65" s="1"/>
  <c r="Q66" s="1"/>
  <c r="Q67" s="1"/>
  <c r="Q68" s="1"/>
  <c r="Q69" s="1"/>
  <c r="Q70" s="1"/>
  <c r="Q71" s="1"/>
  <c r="Q72" s="1"/>
  <c r="Q73" s="1"/>
  <c r="T51" i="2"/>
  <c r="T52" s="1"/>
  <c r="T53" s="1"/>
  <c r="T54" s="1"/>
  <c r="T55" s="1"/>
  <c r="T56" s="1"/>
  <c r="T57" s="1"/>
  <c r="T58" s="1"/>
  <c r="T59" s="1"/>
  <c r="R51"/>
  <c r="R52" s="1"/>
  <c r="R53" s="1"/>
  <c r="R54" s="1"/>
  <c r="R55" s="1"/>
  <c r="R56" s="1"/>
  <c r="R57" s="1"/>
  <c r="R58" s="1"/>
  <c r="R59" s="1"/>
  <c r="L50"/>
  <c r="L51" s="1"/>
  <c r="L52" s="1"/>
  <c r="L53" s="1"/>
  <c r="L54" s="1"/>
  <c r="L55" s="1"/>
  <c r="L56" s="1"/>
  <c r="L57" s="1"/>
  <c r="L58" s="1"/>
  <c r="L59" s="1"/>
  <c r="I13" i="6"/>
  <c r="G29" i="7"/>
  <c r="A29" s="1"/>
  <c r="E43"/>
  <c r="L14" i="9"/>
  <c r="L15" s="1"/>
  <c r="L16" s="1"/>
  <c r="L17" s="1"/>
  <c r="L18" s="1"/>
  <c r="L19" s="1"/>
  <c r="L20" s="1"/>
  <c r="L21" s="1"/>
  <c r="L22" s="1"/>
  <c r="L23" s="1"/>
  <c r="L24" s="1"/>
  <c r="Q111" i="7"/>
  <c r="Q112" s="1"/>
  <c r="Q113" s="1"/>
  <c r="Q114" s="1"/>
  <c r="Q115" s="1"/>
  <c r="Q116" s="1"/>
  <c r="Q117" s="1"/>
  <c r="Q118" s="1"/>
  <c r="Q146"/>
  <c r="Q147" s="1"/>
  <c r="Q148" s="1"/>
  <c r="Q149" s="1"/>
  <c r="Q150" s="1"/>
  <c r="Q151" s="1"/>
  <c r="Q152" s="1"/>
  <c r="Q153" s="1"/>
  <c r="Q154" s="1"/>
  <c r="X18" i="9"/>
  <c r="Y6"/>
  <c r="X6"/>
  <c r="Z14"/>
  <c r="K14"/>
  <c r="N93" i="7"/>
  <c r="A94" s="1"/>
  <c r="Z130"/>
  <c r="K130"/>
  <c r="Z93"/>
  <c r="K93"/>
  <c r="Q31"/>
  <c r="Q32" s="1"/>
  <c r="Q33" s="1"/>
  <c r="Q34" s="1"/>
  <c r="Q35" s="1"/>
  <c r="Q36" s="1"/>
  <c r="Q37" s="1"/>
  <c r="G30"/>
  <c r="A30" s="1"/>
  <c r="Z51"/>
  <c r="K51"/>
  <c r="O46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K32"/>
  <c r="Z33" s="1"/>
  <c r="X17"/>
  <c r="Y18" s="1"/>
  <c r="I31" i="2"/>
  <c r="I56"/>
  <c r="O20" i="7"/>
  <c r="O21" s="1"/>
  <c r="O22" s="1"/>
  <c r="O23" s="1"/>
  <c r="O24" s="1"/>
  <c r="O25" s="1"/>
  <c r="N93" i="2"/>
  <c r="N94" s="1"/>
  <c r="N95" s="1"/>
  <c r="X17" i="6"/>
  <c r="Y18" s="1"/>
  <c r="K23"/>
  <c r="K24" s="1"/>
  <c r="U50" i="2"/>
  <c r="U51" s="1"/>
  <c r="U52" s="1"/>
  <c r="U53" s="1"/>
  <c r="U54" s="1"/>
  <c r="U55" s="1"/>
  <c r="U56" s="1"/>
  <c r="U57" s="1"/>
  <c r="U58" s="1"/>
  <c r="U59" s="1"/>
  <c r="R19" i="6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Q23"/>
  <c r="Q24" s="1"/>
  <c r="Q25" s="1"/>
  <c r="Q26" s="1"/>
  <c r="Q27" s="1"/>
  <c r="Q28" s="1"/>
  <c r="Q29" s="1"/>
  <c r="O97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K32"/>
  <c r="K33" s="1"/>
  <c r="R23" i="7"/>
  <c r="R24" s="1"/>
  <c r="R25" s="1"/>
  <c r="F7"/>
  <c r="E26"/>
  <c r="U51" i="1"/>
  <c r="E66" s="1"/>
  <c r="K49" i="2"/>
  <c r="K50" s="1"/>
  <c r="U50" i="6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Q32"/>
  <c r="Q33" s="1"/>
  <c r="Q34" s="1"/>
  <c r="Q35" s="1"/>
  <c r="Q36" s="1"/>
  <c r="Q37" s="1"/>
  <c r="Q38" s="1"/>
  <c r="N95"/>
  <c r="N96" s="1"/>
  <c r="N97" s="1"/>
  <c r="I122"/>
  <c r="Q23" i="7"/>
  <c r="Q24" s="1"/>
  <c r="Q25" s="1"/>
  <c r="F26"/>
  <c r="L50" i="6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K95"/>
  <c r="K96" s="1"/>
  <c r="K97" s="1"/>
  <c r="K98" s="1"/>
  <c r="E6" i="7"/>
  <c r="G6" s="1"/>
  <c r="E14"/>
  <c r="G14" s="1"/>
  <c r="L14" s="1"/>
  <c r="L15" s="1"/>
  <c r="L16" s="1"/>
  <c r="L17" s="1"/>
  <c r="L18" s="1"/>
  <c r="L19" s="1"/>
  <c r="L20" s="1"/>
  <c r="L21" s="1"/>
  <c r="L22" s="1"/>
  <c r="L23" s="1"/>
  <c r="L24" s="1"/>
  <c r="L25" s="1"/>
  <c r="F43"/>
  <c r="F14"/>
  <c r="E7"/>
  <c r="G7" s="1"/>
  <c r="Z5" i="6"/>
  <c r="C5"/>
  <c r="I87"/>
  <c r="Z87"/>
  <c r="Z23" i="7"/>
  <c r="K23"/>
  <c r="R95" i="6"/>
  <c r="R97" s="1"/>
  <c r="R99" s="1"/>
  <c r="R96"/>
  <c r="R98" s="1"/>
  <c r="I65"/>
  <c r="Q50"/>
  <c r="Q51" s="1"/>
  <c r="Q52" s="1"/>
  <c r="Q53" s="1"/>
  <c r="Q54" s="1"/>
  <c r="L14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I22" i="7"/>
  <c r="I99" i="6"/>
  <c r="C5" i="7"/>
  <c r="Z5"/>
  <c r="I80" i="6"/>
  <c r="Z80"/>
  <c r="L95" i="2"/>
  <c r="L96" s="1"/>
  <c r="L97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Q86"/>
  <c r="Q88" s="1"/>
  <c r="Z39" i="6"/>
  <c r="K13"/>
  <c r="K14" s="1"/>
  <c r="Z66"/>
  <c r="I79" i="2"/>
  <c r="A13" i="6"/>
  <c r="N13"/>
  <c r="B8"/>
  <c r="R5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T18"/>
  <c r="T19" s="1"/>
  <c r="T20" s="1"/>
  <c r="T21" s="1"/>
  <c r="T22" s="1"/>
  <c r="T23" s="1"/>
  <c r="T24" s="1"/>
  <c r="T25" s="1"/>
  <c r="T26" s="1"/>
  <c r="Y95"/>
  <c r="X95"/>
  <c r="X6" i="7"/>
  <c r="Y6"/>
  <c r="I22" i="6"/>
  <c r="Z92"/>
  <c r="O20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I44"/>
  <c r="T50"/>
  <c r="T51" s="1"/>
  <c r="T52" s="1"/>
  <c r="T53" s="1"/>
  <c r="T54" s="1"/>
  <c r="T55" s="1"/>
  <c r="T56" s="1"/>
  <c r="T57" s="1"/>
  <c r="T58" s="1"/>
  <c r="T59" s="1"/>
  <c r="T60" s="1"/>
  <c r="T61" s="1"/>
  <c r="Z23" i="2"/>
  <c r="Q23"/>
  <c r="Q24" s="1"/>
  <c r="Q25" s="1"/>
  <c r="O95"/>
  <c r="O96" s="1"/>
  <c r="O97" s="1"/>
  <c r="I56" i="6"/>
  <c r="F81" i="2"/>
  <c r="F83"/>
  <c r="F89"/>
  <c r="G89" s="1"/>
  <c r="T90" s="1"/>
  <c r="T91" s="1"/>
  <c r="T92" s="1"/>
  <c r="F69"/>
  <c r="F42"/>
  <c r="F44"/>
  <c r="F6"/>
  <c r="F8"/>
  <c r="F14"/>
  <c r="G14" s="1"/>
  <c r="U14" s="1"/>
  <c r="U15" s="1"/>
  <c r="U16" s="1"/>
  <c r="U17" s="1"/>
  <c r="U18" s="1"/>
  <c r="U19" s="1"/>
  <c r="U20" s="1"/>
  <c r="U21" s="1"/>
  <c r="U22" s="1"/>
  <c r="U23" s="1"/>
  <c r="U24" s="1"/>
  <c r="U25" s="1"/>
  <c r="F82"/>
  <c r="F26"/>
  <c r="G26" s="1"/>
  <c r="E81"/>
  <c r="G81" s="1"/>
  <c r="Z81" s="1"/>
  <c r="E83"/>
  <c r="G83" s="1"/>
  <c r="Z83" s="1"/>
  <c r="E89"/>
  <c r="E69"/>
  <c r="G69" s="1"/>
  <c r="E42"/>
  <c r="G42" s="1"/>
  <c r="Q42" s="1"/>
  <c r="Q43" s="1"/>
  <c r="E44"/>
  <c r="G44" s="1"/>
  <c r="I44" s="1"/>
  <c r="E6"/>
  <c r="G6" s="1"/>
  <c r="Z6" s="1"/>
  <c r="E8"/>
  <c r="G8" s="1"/>
  <c r="Z8" s="1"/>
  <c r="E14"/>
  <c r="F76"/>
  <c r="F60"/>
  <c r="G60" s="1"/>
  <c r="F35"/>
  <c r="F7"/>
  <c r="E82"/>
  <c r="G82" s="1"/>
  <c r="Z82" s="1"/>
  <c r="E76"/>
  <c r="G76" s="1"/>
  <c r="E60"/>
  <c r="E35"/>
  <c r="G35" s="1"/>
  <c r="Q35" s="1"/>
  <c r="Q36" s="1"/>
  <c r="Q37" s="1"/>
  <c r="Q38" s="1"/>
  <c r="E26"/>
  <c r="E7"/>
  <c r="G7" s="1"/>
  <c r="Z7" s="1"/>
  <c r="Q12" i="6"/>
  <c r="Q13" s="1"/>
  <c r="Q14" s="1"/>
  <c r="Q15" s="1"/>
  <c r="Q16" s="1"/>
  <c r="Q17" s="1"/>
  <c r="Q18" s="1"/>
  <c r="Q19" s="1"/>
  <c r="Q20" s="1"/>
  <c r="Z11"/>
  <c r="Q14" i="2"/>
  <c r="Q15" s="1"/>
  <c r="Q16" s="1"/>
  <c r="Q17" s="1"/>
  <c r="Q18" s="1"/>
  <c r="Q19" s="1"/>
  <c r="Q20" s="1"/>
  <c r="Q21" s="1"/>
  <c r="I65"/>
  <c r="I31" i="6"/>
  <c r="R18" i="2"/>
  <c r="R19" s="1"/>
  <c r="R20" s="1"/>
  <c r="R21" s="1"/>
  <c r="R22" s="1"/>
  <c r="R23" s="1"/>
  <c r="R24" s="1"/>
  <c r="R25" s="1"/>
  <c r="O20"/>
  <c r="O21" s="1"/>
  <c r="O22" s="1"/>
  <c r="O23" s="1"/>
  <c r="O24" s="1"/>
  <c r="O25" s="1"/>
  <c r="Z58" i="6"/>
  <c r="K58"/>
  <c r="Y6"/>
  <c r="X6"/>
  <c r="K49"/>
  <c r="Z49"/>
  <c r="X18"/>
  <c r="Z74"/>
  <c r="K74"/>
  <c r="Z67"/>
  <c r="K67"/>
  <c r="Z40"/>
  <c r="K40"/>
  <c r="Q87" i="2"/>
  <c r="K89"/>
  <c r="Y95"/>
  <c r="X95"/>
  <c r="Z50"/>
  <c r="X7"/>
  <c r="X8" s="1"/>
  <c r="K33"/>
  <c r="Z34" s="1"/>
  <c r="K13"/>
  <c r="C5"/>
  <c r="K24"/>
  <c r="Z25" s="1"/>
  <c r="L13"/>
  <c r="N13"/>
  <c r="I21"/>
  <c r="I22" s="1"/>
  <c r="N115" i="13" l="1"/>
  <c r="A115"/>
  <c r="K123"/>
  <c r="Z123"/>
  <c r="K140"/>
  <c r="Z140"/>
  <c r="Z156"/>
  <c r="K156"/>
  <c r="Z148"/>
  <c r="K148"/>
  <c r="N141"/>
  <c r="A141"/>
  <c r="Z115"/>
  <c r="K115"/>
  <c r="K99"/>
  <c r="Z99"/>
  <c r="N89"/>
  <c r="A89"/>
  <c r="Z131"/>
  <c r="K131"/>
  <c r="Z106"/>
  <c r="K106"/>
  <c r="Z88"/>
  <c r="K88"/>
  <c r="K80"/>
  <c r="Z80"/>
  <c r="K71"/>
  <c r="Z71"/>
  <c r="K63"/>
  <c r="Z63"/>
  <c r="N64"/>
  <c r="A64"/>
  <c r="K54"/>
  <c r="Z54"/>
  <c r="Z47"/>
  <c r="K47"/>
  <c r="Z29"/>
  <c r="K29"/>
  <c r="N40"/>
  <c r="A41" s="1"/>
  <c r="A40"/>
  <c r="K38"/>
  <c r="Z38"/>
  <c r="K21"/>
  <c r="Z21"/>
  <c r="N12"/>
  <c r="A12"/>
  <c r="K11"/>
  <c r="Z11"/>
  <c r="AA8"/>
  <c r="B9"/>
  <c r="X8"/>
  <c r="Y8"/>
  <c r="K105" i="12"/>
  <c r="K106" s="1"/>
  <c r="N124"/>
  <c r="A124"/>
  <c r="Z94"/>
  <c r="K94"/>
  <c r="Z159"/>
  <c r="K159"/>
  <c r="Z123"/>
  <c r="K123"/>
  <c r="N152"/>
  <c r="A152"/>
  <c r="Z132"/>
  <c r="K132"/>
  <c r="Z114"/>
  <c r="K114"/>
  <c r="Z141"/>
  <c r="K141"/>
  <c r="Z169"/>
  <c r="K169"/>
  <c r="Z150"/>
  <c r="K150"/>
  <c r="N95"/>
  <c r="A95"/>
  <c r="X8"/>
  <c r="Y9" s="1"/>
  <c r="A45"/>
  <c r="Z45"/>
  <c r="K45"/>
  <c r="K60" i="10"/>
  <c r="Z60"/>
  <c r="Z141"/>
  <c r="K141"/>
  <c r="Z130" i="11"/>
  <c r="K130"/>
  <c r="Z158" i="10"/>
  <c r="K158"/>
  <c r="K76" i="11"/>
  <c r="Z76"/>
  <c r="K138"/>
  <c r="Z138"/>
  <c r="B6"/>
  <c r="AA5"/>
  <c r="K37" i="12"/>
  <c r="Z37"/>
  <c r="Z114" i="10"/>
  <c r="K114"/>
  <c r="Z69"/>
  <c r="K69"/>
  <c r="L157" i="7"/>
  <c r="L158" s="1"/>
  <c r="L159" s="1"/>
  <c r="L160" s="1"/>
  <c r="L161" s="1"/>
  <c r="T45" i="12"/>
  <c r="T46" s="1"/>
  <c r="T47" s="1"/>
  <c r="T48" s="1"/>
  <c r="T49" s="1"/>
  <c r="T50" s="1"/>
  <c r="T51" s="1"/>
  <c r="T52" s="1"/>
  <c r="T53" s="1"/>
  <c r="T54" s="1"/>
  <c r="T55" s="1"/>
  <c r="L45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Z19"/>
  <c r="K19"/>
  <c r="K120" i="11"/>
  <c r="Z120"/>
  <c r="Z103"/>
  <c r="K103"/>
  <c r="K105" i="10"/>
  <c r="Z105"/>
  <c r="K147" i="11"/>
  <c r="Z147"/>
  <c r="Z112"/>
  <c r="K112"/>
  <c r="Z150" i="10"/>
  <c r="K150"/>
  <c r="N39" i="12"/>
  <c r="A39"/>
  <c r="Z77" i="10"/>
  <c r="K77"/>
  <c r="K28" i="12"/>
  <c r="Z28"/>
  <c r="Z41" i="11"/>
  <c r="K41"/>
  <c r="A93"/>
  <c r="N93"/>
  <c r="R45" i="12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Q45"/>
  <c r="Q46" s="1"/>
  <c r="Q47" s="1"/>
  <c r="Q48" s="1"/>
  <c r="Q49" s="1"/>
  <c r="Q50" s="1"/>
  <c r="Q51" s="1"/>
  <c r="K122" i="10"/>
  <c r="Z122"/>
  <c r="Z24" i="11"/>
  <c r="K24"/>
  <c r="N10" i="12"/>
  <c r="A10"/>
  <c r="AA6"/>
  <c r="B7"/>
  <c r="Z155" i="11"/>
  <c r="K155"/>
  <c r="Z73" i="12"/>
  <c r="K73"/>
  <c r="K33" i="11"/>
  <c r="Z33"/>
  <c r="K41" i="10"/>
  <c r="Z41"/>
  <c r="K8" i="12"/>
  <c r="Z8"/>
  <c r="U59" i="9"/>
  <c r="U60" s="1"/>
  <c r="U61" s="1"/>
  <c r="U62" s="1"/>
  <c r="U63" s="1"/>
  <c r="U64" s="1"/>
  <c r="U65" s="1"/>
  <c r="U66" s="1"/>
  <c r="O45" i="12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Q54"/>
  <c r="Q55" s="1"/>
  <c r="Q56" s="1"/>
  <c r="Q57" s="1"/>
  <c r="Q58" s="1"/>
  <c r="Q59" s="1"/>
  <c r="Q60" s="1"/>
  <c r="Z82"/>
  <c r="K82"/>
  <c r="A54"/>
  <c r="Z54"/>
  <c r="K54"/>
  <c r="N66"/>
  <c r="A66"/>
  <c r="Z59" i="11"/>
  <c r="K59"/>
  <c r="Z68"/>
  <c r="K68"/>
  <c r="Z93"/>
  <c r="K93"/>
  <c r="K24" i="10"/>
  <c r="Z24"/>
  <c r="O33"/>
  <c r="O34" s="1"/>
  <c r="O35" s="1"/>
  <c r="O36" s="1"/>
  <c r="O37" s="1"/>
  <c r="O38" s="1"/>
  <c r="O39" s="1"/>
  <c r="O40" s="1"/>
  <c r="O41" s="1"/>
  <c r="O32"/>
  <c r="K33"/>
  <c r="Z33"/>
  <c r="K51" i="11"/>
  <c r="Z51"/>
  <c r="K65" i="12"/>
  <c r="Z65"/>
  <c r="U45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L12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Y87" i="11"/>
  <c r="X87"/>
  <c r="Y51"/>
  <c r="X51"/>
  <c r="A96" i="10"/>
  <c r="N96"/>
  <c r="Z134"/>
  <c r="K134"/>
  <c r="K96"/>
  <c r="Z96"/>
  <c r="Y96"/>
  <c r="X96"/>
  <c r="Y102"/>
  <c r="X102"/>
  <c r="Y23" i="11"/>
  <c r="X23"/>
  <c r="Y7"/>
  <c r="A15"/>
  <c r="N15"/>
  <c r="Z15"/>
  <c r="K15"/>
  <c r="Y25" i="10"/>
  <c r="X25"/>
  <c r="K53"/>
  <c r="Z53"/>
  <c r="B7"/>
  <c r="B8" s="1"/>
  <c r="B9" s="1"/>
  <c r="L86"/>
  <c r="L87" s="1"/>
  <c r="L88" s="1"/>
  <c r="K51" i="9"/>
  <c r="L123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Q86" i="10"/>
  <c r="Q87" s="1"/>
  <c r="Q88" s="1"/>
  <c r="Q89" s="1"/>
  <c r="Q90" s="1"/>
  <c r="R123" i="9"/>
  <c r="R124" s="1"/>
  <c r="R125" s="1"/>
  <c r="R126" s="1"/>
  <c r="R127" s="1"/>
  <c r="R128" s="1"/>
  <c r="R129" s="1"/>
  <c r="R130" s="1"/>
  <c r="O123"/>
  <c r="O124" s="1"/>
  <c r="O125" s="1"/>
  <c r="O126" s="1"/>
  <c r="O127" s="1"/>
  <c r="O128" s="1"/>
  <c r="O129" s="1"/>
  <c r="O130" s="1"/>
  <c r="R5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Z123"/>
  <c r="O98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L98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R98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Q123"/>
  <c r="Q124" s="1"/>
  <c r="Q125" s="1"/>
  <c r="Q126" s="1"/>
  <c r="Q127" s="1"/>
  <c r="Q128" s="1"/>
  <c r="Z40" i="7"/>
  <c r="Q51" i="9"/>
  <c r="Q52" s="1"/>
  <c r="Q53" s="1"/>
  <c r="Q54" s="1"/>
  <c r="Q55" s="1"/>
  <c r="Q56" s="1"/>
  <c r="O5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Q79"/>
  <c r="Q80" s="1"/>
  <c r="K40" i="7"/>
  <c r="N14" i="9"/>
  <c r="A15" s="1"/>
  <c r="Z8"/>
  <c r="A8"/>
  <c r="O25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A25"/>
  <c r="Z87" i="7"/>
  <c r="A87"/>
  <c r="Z88" i="10"/>
  <c r="A88"/>
  <c r="L51" i="9"/>
  <c r="L52" s="1"/>
  <c r="L53" s="1"/>
  <c r="L54" s="1"/>
  <c r="L55" s="1"/>
  <c r="L56" s="1"/>
  <c r="L57" s="1"/>
  <c r="L58" s="1"/>
  <c r="A51"/>
  <c r="Z79"/>
  <c r="A79"/>
  <c r="Z6" i="7"/>
  <c r="A6"/>
  <c r="B6" s="1"/>
  <c r="Z86"/>
  <c r="A86"/>
  <c r="Z7" i="9"/>
  <c r="A7"/>
  <c r="Z89" i="10"/>
  <c r="A89"/>
  <c r="Z81" i="9"/>
  <c r="A81"/>
  <c r="A14" i="7"/>
  <c r="Z7"/>
  <c r="A7"/>
  <c r="I39"/>
  <c r="A39"/>
  <c r="Z6" i="9"/>
  <c r="A6"/>
  <c r="B6" s="1"/>
  <c r="Z80"/>
  <c r="A80"/>
  <c r="Z153"/>
  <c r="A153"/>
  <c r="Q38" i="7"/>
  <c r="Z8"/>
  <c r="A8"/>
  <c r="Z85"/>
  <c r="A85"/>
  <c r="Z154" i="9"/>
  <c r="A154"/>
  <c r="Z152"/>
  <c r="A152"/>
  <c r="Z151"/>
  <c r="A151"/>
  <c r="Z82"/>
  <c r="A82"/>
  <c r="Z87" i="10"/>
  <c r="A87"/>
  <c r="C6" i="2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X20"/>
  <c r="X21" s="1"/>
  <c r="Z24" i="6"/>
  <c r="G43" i="7"/>
  <c r="A43" s="1"/>
  <c r="R131" i="9"/>
  <c r="R132" s="1"/>
  <c r="R133" s="1"/>
  <c r="R134" s="1"/>
  <c r="R135" s="1"/>
  <c r="R136" s="1"/>
  <c r="U131"/>
  <c r="U132" s="1"/>
  <c r="U133" s="1"/>
  <c r="U134" s="1"/>
  <c r="U135" s="1"/>
  <c r="U136" s="1"/>
  <c r="U137" s="1"/>
  <c r="U138" s="1"/>
  <c r="O139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K96"/>
  <c r="Z96"/>
  <c r="C6" i="10"/>
  <c r="AA5"/>
  <c r="K144" i="9"/>
  <c r="Z144"/>
  <c r="Z32"/>
  <c r="K32"/>
  <c r="K86"/>
  <c r="Z86"/>
  <c r="X98" i="7"/>
  <c r="Y98"/>
  <c r="Z86" i="10"/>
  <c r="I86"/>
  <c r="I87" s="1"/>
  <c r="I88" s="1"/>
  <c r="Z89" i="2"/>
  <c r="N14" i="7"/>
  <c r="A15" s="1"/>
  <c r="Q84"/>
  <c r="Q85" s="1"/>
  <c r="Q86" s="1"/>
  <c r="Q87" s="1"/>
  <c r="Q88" s="1"/>
  <c r="T106" i="9"/>
  <c r="T107" s="1"/>
  <c r="T108" s="1"/>
  <c r="T109" s="1"/>
  <c r="T110" s="1"/>
  <c r="T111" s="1"/>
  <c r="T112" s="1"/>
  <c r="T113" s="1"/>
  <c r="T114" s="1"/>
  <c r="Q151"/>
  <c r="Q152" s="1"/>
  <c r="Q153" s="1"/>
  <c r="Q154" s="1"/>
  <c r="Q155" s="1"/>
  <c r="U86" i="10"/>
  <c r="U87" s="1"/>
  <c r="U88" s="1"/>
  <c r="U89" s="1"/>
  <c r="U90" s="1"/>
  <c r="U91" s="1"/>
  <c r="K65" i="9"/>
  <c r="Z65"/>
  <c r="K137"/>
  <c r="Z137"/>
  <c r="Z40"/>
  <c r="K40"/>
  <c r="K72"/>
  <c r="Z72"/>
  <c r="K57"/>
  <c r="Z57"/>
  <c r="N86"/>
  <c r="A87" s="1"/>
  <c r="Z129"/>
  <c r="K129"/>
  <c r="Z14" i="6"/>
  <c r="U90" i="2"/>
  <c r="U92" s="1"/>
  <c r="U93" s="1"/>
  <c r="U94" s="1"/>
  <c r="U95" s="1"/>
  <c r="U96" s="1"/>
  <c r="U97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K33" i="7"/>
  <c r="K34" s="1"/>
  <c r="Q39"/>
  <c r="O131" i="9"/>
  <c r="O132" s="1"/>
  <c r="O133" s="1"/>
  <c r="O134" s="1"/>
  <c r="O135" s="1"/>
  <c r="O136" s="1"/>
  <c r="O137" s="1"/>
  <c r="O138" s="1"/>
  <c r="O67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Q81"/>
  <c r="Q82" s="1"/>
  <c r="Q83" s="1"/>
  <c r="L59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K52"/>
  <c r="Z52"/>
  <c r="R25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L25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X19" i="10"/>
  <c r="Y19"/>
  <c r="X7"/>
  <c r="Y7"/>
  <c r="N15"/>
  <c r="A16" s="1"/>
  <c r="K15"/>
  <c r="Z15"/>
  <c r="Z112" i="9"/>
  <c r="K112"/>
  <c r="K104"/>
  <c r="Z104"/>
  <c r="K124"/>
  <c r="Z124"/>
  <c r="X96"/>
  <c r="Y96"/>
  <c r="C6"/>
  <c r="AA5"/>
  <c r="Z103" i="7"/>
  <c r="K103"/>
  <c r="Z138"/>
  <c r="K138"/>
  <c r="Z84"/>
  <c r="I84"/>
  <c r="I85" s="1"/>
  <c r="I86" s="1"/>
  <c r="T78"/>
  <c r="T79" s="1"/>
  <c r="T80" s="1"/>
  <c r="Z68"/>
  <c r="K68"/>
  <c r="K23" i="9"/>
  <c r="Z23"/>
  <c r="Z59" i="7"/>
  <c r="K59"/>
  <c r="K155"/>
  <c r="Z155"/>
  <c r="K112"/>
  <c r="Z112"/>
  <c r="L60" i="2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122" i="7"/>
  <c r="L123" s="1"/>
  <c r="L124" s="1"/>
  <c r="L125" s="1"/>
  <c r="L126" s="1"/>
  <c r="K120"/>
  <c r="Z120"/>
  <c r="Z147"/>
  <c r="K147"/>
  <c r="K76"/>
  <c r="Z76"/>
  <c r="Q14"/>
  <c r="Q15" s="1"/>
  <c r="Q16" s="1"/>
  <c r="Q17" s="1"/>
  <c r="Q18" s="1"/>
  <c r="Q19" s="1"/>
  <c r="Q20" s="1"/>
  <c r="R60" i="2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L78" i="7"/>
  <c r="L79" s="1"/>
  <c r="L80" s="1"/>
  <c r="L81" s="1"/>
  <c r="L82" s="1"/>
  <c r="L83" s="1"/>
  <c r="L84" s="1"/>
  <c r="L85" s="1"/>
  <c r="L86" s="1"/>
  <c r="U122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X19" i="9"/>
  <c r="Y19"/>
  <c r="K15"/>
  <c r="Z15"/>
  <c r="N15"/>
  <c r="A16" s="1"/>
  <c r="Y7"/>
  <c r="X7"/>
  <c r="N94" i="7"/>
  <c r="A95" s="1"/>
  <c r="Z94"/>
  <c r="K94"/>
  <c r="K131"/>
  <c r="Z131"/>
  <c r="Z14"/>
  <c r="K14"/>
  <c r="Z15" s="1"/>
  <c r="I30"/>
  <c r="I31" s="1"/>
  <c r="U30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T30"/>
  <c r="T31" s="1"/>
  <c r="T32" s="1"/>
  <c r="T33" s="1"/>
  <c r="T34" s="1"/>
  <c r="T35" s="1"/>
  <c r="T36" s="1"/>
  <c r="T37" s="1"/>
  <c r="T38" s="1"/>
  <c r="T39" s="1"/>
  <c r="T40" s="1"/>
  <c r="T41" s="1"/>
  <c r="T42" s="1"/>
  <c r="G26"/>
  <c r="K52"/>
  <c r="Z52"/>
  <c r="X18"/>
  <c r="Y19" s="1"/>
  <c r="I81" i="2"/>
  <c r="I82" s="1"/>
  <c r="I83" s="1"/>
  <c r="I85" s="1"/>
  <c r="I87" s="1"/>
  <c r="I88" s="1"/>
  <c r="I90" s="1"/>
  <c r="I91" s="1"/>
  <c r="I94" s="1"/>
  <c r="I96" s="1"/>
  <c r="I97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R26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O26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Z33" i="6"/>
  <c r="AA5" i="7"/>
  <c r="C6"/>
  <c r="AA5" i="6"/>
  <c r="C6"/>
  <c r="K41" i="7"/>
  <c r="Z41"/>
  <c r="Z24"/>
  <c r="K24"/>
  <c r="U26" i="2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L14"/>
  <c r="L15" s="1"/>
  <c r="L16" s="1"/>
  <c r="L17" s="1"/>
  <c r="L18" s="1"/>
  <c r="T14"/>
  <c r="T15" s="1"/>
  <c r="T16" s="1"/>
  <c r="T17" s="1"/>
  <c r="T18" s="1"/>
  <c r="T19" s="1"/>
  <c r="T20" s="1"/>
  <c r="T21" s="1"/>
  <c r="T22" s="1"/>
  <c r="T23" s="1"/>
  <c r="T24" s="1"/>
  <c r="T25" s="1"/>
  <c r="T26" s="1"/>
  <c r="N14"/>
  <c r="N15" s="1"/>
  <c r="N18" s="1"/>
  <c r="N19" s="1"/>
  <c r="N20" s="1"/>
  <c r="Z14"/>
  <c r="T60"/>
  <c r="T61" s="1"/>
  <c r="Q44"/>
  <c r="Q45" s="1"/>
  <c r="Q47" s="1"/>
  <c r="Q48" s="1"/>
  <c r="Q49" s="1"/>
  <c r="Q50" s="1"/>
  <c r="Q51" s="1"/>
  <c r="Q52" s="1"/>
  <c r="Q53" s="1"/>
  <c r="Q54" s="1"/>
  <c r="Y96" i="6"/>
  <c r="X96"/>
  <c r="A14"/>
  <c r="N14"/>
  <c r="B9"/>
  <c r="N15" i="7"/>
  <c r="X7"/>
  <c r="Y7"/>
  <c r="Z93" i="6"/>
  <c r="Z94"/>
  <c r="Q26" i="2"/>
  <c r="Q27" s="1"/>
  <c r="Q28" s="1"/>
  <c r="Q29" s="1"/>
  <c r="Q30" s="1"/>
  <c r="T93"/>
  <c r="T94"/>
  <c r="U60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Y19" i="6"/>
  <c r="X19"/>
  <c r="K50"/>
  <c r="Z50"/>
  <c r="K34"/>
  <c r="Z34"/>
  <c r="K75"/>
  <c r="Z75"/>
  <c r="K15"/>
  <c r="Z15"/>
  <c r="Z59"/>
  <c r="K59"/>
  <c r="Z25"/>
  <c r="K25"/>
  <c r="Z41"/>
  <c r="K41"/>
  <c r="Z68"/>
  <c r="K68"/>
  <c r="X7"/>
  <c r="Y7"/>
  <c r="Q89" i="2"/>
  <c r="Q90" s="1"/>
  <c r="Q91" s="1"/>
  <c r="Q92" s="1"/>
  <c r="Q93" s="1"/>
  <c r="Q94" s="1"/>
  <c r="Q95" s="1"/>
  <c r="Q96" s="1"/>
  <c r="K90"/>
  <c r="Z90"/>
  <c r="Y96"/>
  <c r="X96"/>
  <c r="K51"/>
  <c r="Z51"/>
  <c r="Y8"/>
  <c r="K57"/>
  <c r="Z57"/>
  <c r="Y21"/>
  <c r="K34"/>
  <c r="Z35" s="1"/>
  <c r="K14"/>
  <c r="Z15" s="1"/>
  <c r="Y9"/>
  <c r="X9"/>
  <c r="K25"/>
  <c r="Z26" s="1"/>
  <c r="A116" i="13" l="1"/>
  <c r="N116"/>
  <c r="N90"/>
  <c r="A90"/>
  <c r="K100"/>
  <c r="Z101" s="1"/>
  <c r="Z100"/>
  <c r="N142"/>
  <c r="A143" s="1"/>
  <c r="A142"/>
  <c r="K124"/>
  <c r="Z124"/>
  <c r="Z89"/>
  <c r="K89"/>
  <c r="Z157"/>
  <c r="K157"/>
  <c r="Z141"/>
  <c r="K141"/>
  <c r="K107"/>
  <c r="Z107"/>
  <c r="Z132"/>
  <c r="K132"/>
  <c r="K116"/>
  <c r="Z116"/>
  <c r="Z149"/>
  <c r="K149"/>
  <c r="Z81"/>
  <c r="K81"/>
  <c r="K72"/>
  <c r="Z72"/>
  <c r="Z48"/>
  <c r="K48"/>
  <c r="Z49" s="1"/>
  <c r="N65"/>
  <c r="A66" s="1"/>
  <c r="A65"/>
  <c r="K55"/>
  <c r="Z55"/>
  <c r="Z64"/>
  <c r="K64"/>
  <c r="Z39"/>
  <c r="K39"/>
  <c r="Z30"/>
  <c r="K30"/>
  <c r="K22"/>
  <c r="Z22"/>
  <c r="AA9"/>
  <c r="B10"/>
  <c r="A13"/>
  <c r="N13"/>
  <c r="X9"/>
  <c r="Y9"/>
  <c r="Z12"/>
  <c r="K12"/>
  <c r="Z106" i="12"/>
  <c r="K107"/>
  <c r="Z107"/>
  <c r="N125"/>
  <c r="A125"/>
  <c r="A96"/>
  <c r="N96"/>
  <c r="Z151"/>
  <c r="K151"/>
  <c r="K142"/>
  <c r="Z142"/>
  <c r="Z133"/>
  <c r="K133"/>
  <c r="K160"/>
  <c r="Z160"/>
  <c r="N153"/>
  <c r="A154" s="1"/>
  <c r="A153"/>
  <c r="Z170"/>
  <c r="K170"/>
  <c r="K115"/>
  <c r="Z115"/>
  <c r="K124"/>
  <c r="Z124"/>
  <c r="K95"/>
  <c r="Z95"/>
  <c r="X9"/>
  <c r="Y10" s="1"/>
  <c r="Z52" i="11"/>
  <c r="K52"/>
  <c r="K156"/>
  <c r="Z156"/>
  <c r="A40" i="12"/>
  <c r="N40"/>
  <c r="Z70" i="10"/>
  <c r="K70"/>
  <c r="Z142"/>
  <c r="K142"/>
  <c r="Z94" i="11"/>
  <c r="K94"/>
  <c r="Z60"/>
  <c r="K60"/>
  <c r="K55" i="12"/>
  <c r="Z55"/>
  <c r="Z42" i="10"/>
  <c r="K42"/>
  <c r="K42" i="11"/>
  <c r="Z42"/>
  <c r="Z113"/>
  <c r="K113"/>
  <c r="K104"/>
  <c r="Z104"/>
  <c r="Z20" i="12"/>
  <c r="K20"/>
  <c r="K38"/>
  <c r="Z38"/>
  <c r="Z139" i="11"/>
  <c r="K139"/>
  <c r="K61" i="10"/>
  <c r="Z61"/>
  <c r="Z66" i="12"/>
  <c r="K66"/>
  <c r="Z34" i="10"/>
  <c r="K34"/>
  <c r="K25"/>
  <c r="Z25"/>
  <c r="A67" i="12"/>
  <c r="N67"/>
  <c r="K83"/>
  <c r="Z83"/>
  <c r="Z74"/>
  <c r="K74"/>
  <c r="AA7"/>
  <c r="B8"/>
  <c r="K25" i="11"/>
  <c r="Z25"/>
  <c r="Z29" i="12"/>
  <c r="K29"/>
  <c r="Z148" i="11"/>
  <c r="K148"/>
  <c r="K106" i="10"/>
  <c r="Z106"/>
  <c r="Z121" i="11"/>
  <c r="K121"/>
  <c r="K115" i="10"/>
  <c r="Z115"/>
  <c r="K159"/>
  <c r="Z159"/>
  <c r="K131" i="11"/>
  <c r="Z131"/>
  <c r="K46" i="12"/>
  <c r="Z46"/>
  <c r="Z69" i="11"/>
  <c r="K69"/>
  <c r="K9" i="12"/>
  <c r="Z9"/>
  <c r="Z34" i="11"/>
  <c r="K34"/>
  <c r="N11" i="12"/>
  <c r="A11"/>
  <c r="K123" i="10"/>
  <c r="Z123"/>
  <c r="A94" i="11"/>
  <c r="N94"/>
  <c r="Z78" i="10"/>
  <c r="K78"/>
  <c r="Z151"/>
  <c r="K151"/>
  <c r="B7" i="11"/>
  <c r="AA6"/>
  <c r="K77"/>
  <c r="Z77"/>
  <c r="X88"/>
  <c r="Y88"/>
  <c r="X52"/>
  <c r="Y52"/>
  <c r="Z97" i="10"/>
  <c r="K97"/>
  <c r="Y103"/>
  <c r="X103"/>
  <c r="N97"/>
  <c r="A97"/>
  <c r="X97"/>
  <c r="Y98" s="1"/>
  <c r="Y97"/>
  <c r="Z135"/>
  <c r="K135"/>
  <c r="Y24" i="11"/>
  <c r="X24"/>
  <c r="Y8"/>
  <c r="A16"/>
  <c r="N16"/>
  <c r="K16"/>
  <c r="Z16"/>
  <c r="Y26" i="10"/>
  <c r="X26"/>
  <c r="K54"/>
  <c r="Z54"/>
  <c r="Z34" i="7"/>
  <c r="B7"/>
  <c r="B8" s="1"/>
  <c r="B9" s="1"/>
  <c r="B10" s="1"/>
  <c r="B11" s="1"/>
  <c r="B12" s="1"/>
  <c r="B13" s="1"/>
  <c r="B14" s="1"/>
  <c r="B15" s="1"/>
  <c r="N16"/>
  <c r="A17" s="1"/>
  <c r="A16"/>
  <c r="O26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A26"/>
  <c r="B7" i="9"/>
  <c r="B8" s="1"/>
  <c r="B9" s="1"/>
  <c r="B10" s="1"/>
  <c r="R26" i="7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K58" i="9"/>
  <c r="Z58"/>
  <c r="Z138"/>
  <c r="K138"/>
  <c r="Z66"/>
  <c r="K66"/>
  <c r="Z87"/>
  <c r="K87"/>
  <c r="K97"/>
  <c r="Z97"/>
  <c r="K15" i="7"/>
  <c r="K16" s="1"/>
  <c r="K73" i="9"/>
  <c r="Z73"/>
  <c r="X99" i="7"/>
  <c r="Y99"/>
  <c r="K145" i="9"/>
  <c r="Z145"/>
  <c r="C7" i="10"/>
  <c r="AA6"/>
  <c r="K130" i="9"/>
  <c r="Z130"/>
  <c r="N87"/>
  <c r="A88" s="1"/>
  <c r="Z41"/>
  <c r="K41"/>
  <c r="Z33"/>
  <c r="K33"/>
  <c r="Z53"/>
  <c r="K53"/>
  <c r="N16" i="10"/>
  <c r="A17" s="1"/>
  <c r="B10"/>
  <c r="Z16"/>
  <c r="K16"/>
  <c r="X8"/>
  <c r="Y8"/>
  <c r="Z113" i="9"/>
  <c r="K113"/>
  <c r="Z105"/>
  <c r="K105"/>
  <c r="Z125"/>
  <c r="K125"/>
  <c r="X97"/>
  <c r="Y97"/>
  <c r="Z156" i="7"/>
  <c r="K156"/>
  <c r="K104"/>
  <c r="Z104"/>
  <c r="K148"/>
  <c r="Z148"/>
  <c r="K60"/>
  <c r="Z60"/>
  <c r="C7" i="9"/>
  <c r="AA6"/>
  <c r="Z69" i="7"/>
  <c r="K69"/>
  <c r="Z77"/>
  <c r="K77"/>
  <c r="Z121"/>
  <c r="K121"/>
  <c r="K113"/>
  <c r="Z113"/>
  <c r="Z24" i="9"/>
  <c r="K24"/>
  <c r="Z139" i="7"/>
  <c r="K139"/>
  <c r="Y20" i="9"/>
  <c r="X20"/>
  <c r="N16"/>
  <c r="A17" s="1"/>
  <c r="Z16"/>
  <c r="K16"/>
  <c r="Y8"/>
  <c r="X8"/>
  <c r="N95" i="7"/>
  <c r="A96" s="1"/>
  <c r="Z132"/>
  <c r="K132"/>
  <c r="Z95"/>
  <c r="K95"/>
  <c r="N17"/>
  <c r="A18" s="1"/>
  <c r="Q26"/>
  <c r="Q27" s="1"/>
  <c r="Q28" s="1"/>
  <c r="Q29" s="1"/>
  <c r="L26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X19"/>
  <c r="Y20" s="1"/>
  <c r="Z53"/>
  <c r="K53"/>
  <c r="AA6"/>
  <c r="C7"/>
  <c r="K25"/>
  <c r="Z25"/>
  <c r="C7" i="6"/>
  <c r="AA6"/>
  <c r="Z42" i="7"/>
  <c r="K42"/>
  <c r="T95" i="2"/>
  <c r="T96" s="1"/>
  <c r="T97" s="1"/>
  <c r="Y97" i="6"/>
  <c r="X97"/>
  <c r="B10"/>
  <c r="N15"/>
  <c r="A15"/>
  <c r="X8" i="7"/>
  <c r="Y8"/>
  <c r="K35"/>
  <c r="Z35"/>
  <c r="Z16"/>
  <c r="Z116" i="6"/>
  <c r="K116"/>
  <c r="Z98"/>
  <c r="Z96"/>
  <c r="Z95"/>
  <c r="Y8"/>
  <c r="X8"/>
  <c r="K35"/>
  <c r="Z35"/>
  <c r="Z69"/>
  <c r="K69"/>
  <c r="K26"/>
  <c r="Z26"/>
  <c r="Z76"/>
  <c r="K76"/>
  <c r="Z42"/>
  <c r="K42"/>
  <c r="Z60"/>
  <c r="K60"/>
  <c r="Z51"/>
  <c r="K51"/>
  <c r="Y20"/>
  <c r="X20"/>
  <c r="K16"/>
  <c r="Z16"/>
  <c r="K91" i="2"/>
  <c r="Z91"/>
  <c r="Y97"/>
  <c r="X97"/>
  <c r="K52"/>
  <c r="Z52"/>
  <c r="K58"/>
  <c r="Z58"/>
  <c r="Y22"/>
  <c r="X22"/>
  <c r="L19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K15"/>
  <c r="Z16" s="1"/>
  <c r="K35"/>
  <c r="Z36" s="1"/>
  <c r="Y10"/>
  <c r="X10"/>
  <c r="C46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K26"/>
  <c r="Z27" s="1"/>
  <c r="A117" i="13" l="1"/>
  <c r="N117"/>
  <c r="A118" s="1"/>
  <c r="Z125"/>
  <c r="K125"/>
  <c r="Z126" s="1"/>
  <c r="K150"/>
  <c r="Z151" s="1"/>
  <c r="Z150"/>
  <c r="K133"/>
  <c r="Z133"/>
  <c r="Z158"/>
  <c r="K158"/>
  <c r="Z117"/>
  <c r="K117"/>
  <c r="Z118" s="1"/>
  <c r="K108"/>
  <c r="Z108"/>
  <c r="A91"/>
  <c r="N91"/>
  <c r="K142"/>
  <c r="Z143" s="1"/>
  <c r="Z142"/>
  <c r="Z90"/>
  <c r="K90"/>
  <c r="K82"/>
  <c r="Z83" s="1"/>
  <c r="Z82"/>
  <c r="Z73"/>
  <c r="K73"/>
  <c r="Z74" s="1"/>
  <c r="K56"/>
  <c r="Z56"/>
  <c r="K65"/>
  <c r="Z66" s="1"/>
  <c r="Z65"/>
  <c r="K31"/>
  <c r="Z31"/>
  <c r="K40"/>
  <c r="Z41" s="1"/>
  <c r="Z40"/>
  <c r="Z23"/>
  <c r="K23"/>
  <c r="Z24" s="1"/>
  <c r="X10"/>
  <c r="Y10"/>
  <c r="Z13"/>
  <c r="K13"/>
  <c r="A14"/>
  <c r="N14"/>
  <c r="AA10"/>
  <c r="B11"/>
  <c r="Z161" i="12"/>
  <c r="K161"/>
  <c r="K143"/>
  <c r="Z143"/>
  <c r="K108"/>
  <c r="Z109" s="1"/>
  <c r="Z108"/>
  <c r="K171"/>
  <c r="Z171"/>
  <c r="Z134"/>
  <c r="K134"/>
  <c r="K152"/>
  <c r="Z152"/>
  <c r="K116"/>
  <c r="Z116"/>
  <c r="N97"/>
  <c r="A97"/>
  <c r="Z96"/>
  <c r="K96"/>
  <c r="K125"/>
  <c r="Z125"/>
  <c r="A126"/>
  <c r="N126"/>
  <c r="A127" s="1"/>
  <c r="X10"/>
  <c r="X11" s="1"/>
  <c r="K17" i="11"/>
  <c r="Z17"/>
  <c r="K78"/>
  <c r="Z78"/>
  <c r="N12" i="12"/>
  <c r="A12"/>
  <c r="K10"/>
  <c r="Z10"/>
  <c r="Z132" i="11"/>
  <c r="K132"/>
  <c r="Z116" i="10"/>
  <c r="K116"/>
  <c r="K107"/>
  <c r="Z107"/>
  <c r="K84" i="12"/>
  <c r="Z84"/>
  <c r="Z26" i="10"/>
  <c r="K26"/>
  <c r="Z43" i="11"/>
  <c r="K43"/>
  <c r="Z56" i="12"/>
  <c r="K56"/>
  <c r="K157" i="11"/>
  <c r="Z157"/>
  <c r="A95"/>
  <c r="N95"/>
  <c r="Z30" i="12"/>
  <c r="K30"/>
  <c r="B9"/>
  <c r="AA8"/>
  <c r="Z67"/>
  <c r="K67"/>
  <c r="Z140" i="11"/>
  <c r="K140"/>
  <c r="K21" i="12"/>
  <c r="Z21"/>
  <c r="K114" i="11"/>
  <c r="Z114"/>
  <c r="Z95"/>
  <c r="K95"/>
  <c r="Z143" i="10"/>
  <c r="K143"/>
  <c r="K71"/>
  <c r="Z71"/>
  <c r="A41" i="12"/>
  <c r="N41"/>
  <c r="K53" i="11"/>
  <c r="Z53"/>
  <c r="B8"/>
  <c r="AA7"/>
  <c r="Z124" i="10"/>
  <c r="K124"/>
  <c r="Z47" i="12"/>
  <c r="K47"/>
  <c r="Z160" i="10"/>
  <c r="K160"/>
  <c r="K26" i="11"/>
  <c r="Z26"/>
  <c r="Z62" i="10"/>
  <c r="K62"/>
  <c r="K39" i="12"/>
  <c r="Z39"/>
  <c r="K105" i="11"/>
  <c r="Z105"/>
  <c r="A17"/>
  <c r="N17"/>
  <c r="Z152" i="10"/>
  <c r="K152"/>
  <c r="Z79"/>
  <c r="K79"/>
  <c r="Z35" i="11"/>
  <c r="K35"/>
  <c r="Z70"/>
  <c r="K70"/>
  <c r="K122"/>
  <c r="Z122"/>
  <c r="K149"/>
  <c r="Z149"/>
  <c r="K75" i="12"/>
  <c r="Z75"/>
  <c r="A68"/>
  <c r="N68"/>
  <c r="Z35" i="10"/>
  <c r="K35"/>
  <c r="K43"/>
  <c r="Z43"/>
  <c r="K61" i="11"/>
  <c r="Z61"/>
  <c r="X89"/>
  <c r="Y89"/>
  <c r="X53"/>
  <c r="Y53"/>
  <c r="Y104" i="10"/>
  <c r="X104"/>
  <c r="N98"/>
  <c r="A98"/>
  <c r="K136"/>
  <c r="Z136"/>
  <c r="Z98"/>
  <c r="K98"/>
  <c r="X25" i="11"/>
  <c r="Y25"/>
  <c r="Y9"/>
  <c r="Y27" i="10"/>
  <c r="X27"/>
  <c r="Z55"/>
  <c r="K55"/>
  <c r="Z42" i="9"/>
  <c r="K42"/>
  <c r="N88"/>
  <c r="A89" s="1"/>
  <c r="K131"/>
  <c r="Z131"/>
  <c r="K146"/>
  <c r="Z146"/>
  <c r="Z88"/>
  <c r="K88"/>
  <c r="K34"/>
  <c r="Z34"/>
  <c r="K98"/>
  <c r="Z98"/>
  <c r="K59"/>
  <c r="Z59"/>
  <c r="C8" i="10"/>
  <c r="AA7"/>
  <c r="Y100" i="7"/>
  <c r="X100"/>
  <c r="Z74" i="9"/>
  <c r="K74"/>
  <c r="Z67"/>
  <c r="K67"/>
  <c r="K139"/>
  <c r="Z139"/>
  <c r="K54"/>
  <c r="Z55" s="1"/>
  <c r="Z54"/>
  <c r="X9" i="10"/>
  <c r="Y9"/>
  <c r="K17"/>
  <c r="Z17"/>
  <c r="B11"/>
  <c r="N17"/>
  <c r="A18" s="1"/>
  <c r="Z106" i="9"/>
  <c r="K106"/>
  <c r="K114"/>
  <c r="Z114"/>
  <c r="X98"/>
  <c r="Y98"/>
  <c r="K126"/>
  <c r="Z127" s="1"/>
  <c r="Z126"/>
  <c r="Z25"/>
  <c r="K25"/>
  <c r="K122" i="7"/>
  <c r="Z122"/>
  <c r="Z70"/>
  <c r="K70"/>
  <c r="C8" i="9"/>
  <c r="AA7"/>
  <c r="Z149" i="7"/>
  <c r="K149"/>
  <c r="K105"/>
  <c r="Z105"/>
  <c r="K140"/>
  <c r="Z140"/>
  <c r="Z78"/>
  <c r="K78"/>
  <c r="K61"/>
  <c r="Z61"/>
  <c r="K114"/>
  <c r="Z114"/>
  <c r="Z157"/>
  <c r="K157"/>
  <c r="B16"/>
  <c r="B17" s="1"/>
  <c r="X21" i="9"/>
  <c r="Y21"/>
  <c r="Y9"/>
  <c r="X9"/>
  <c r="K17"/>
  <c r="Z17"/>
  <c r="N17"/>
  <c r="A18" s="1"/>
  <c r="B11"/>
  <c r="Z96" i="7"/>
  <c r="K96"/>
  <c r="N96"/>
  <c r="A97" s="1"/>
  <c r="Z133"/>
  <c r="K133"/>
  <c r="N18"/>
  <c r="X20"/>
  <c r="Y21" s="1"/>
  <c r="Z54"/>
  <c r="K54"/>
  <c r="C8" i="6"/>
  <c r="AA7"/>
  <c r="AA7" i="7"/>
  <c r="C8"/>
  <c r="K26"/>
  <c r="Z26"/>
  <c r="K43"/>
  <c r="Z43"/>
  <c r="B11" i="6"/>
  <c r="X98"/>
  <c r="Y98"/>
  <c r="N18"/>
  <c r="A16"/>
  <c r="Z36" i="7"/>
  <c r="K36"/>
  <c r="K17"/>
  <c r="Z17"/>
  <c r="X9"/>
  <c r="Y9"/>
  <c r="K117" i="6"/>
  <c r="Z117"/>
  <c r="Z97"/>
  <c r="Z99"/>
  <c r="Z27"/>
  <c r="K27"/>
  <c r="Z36"/>
  <c r="K36"/>
  <c r="K17"/>
  <c r="Z17"/>
  <c r="K52"/>
  <c r="Z52"/>
  <c r="Z43"/>
  <c r="K43"/>
  <c r="K77"/>
  <c r="Z78" s="1"/>
  <c r="Z77"/>
  <c r="Z70"/>
  <c r="K70"/>
  <c r="X9"/>
  <c r="Y9"/>
  <c r="X21"/>
  <c r="Y21"/>
  <c r="K61"/>
  <c r="Z61"/>
  <c r="K92" i="2"/>
  <c r="Z92"/>
  <c r="Z53"/>
  <c r="K53"/>
  <c r="C78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K59"/>
  <c r="Z59"/>
  <c r="Y23"/>
  <c r="X23"/>
  <c r="K16"/>
  <c r="Z17" s="1"/>
  <c r="K36"/>
  <c r="Z37" s="1"/>
  <c r="K27"/>
  <c r="Z28" s="1"/>
  <c r="X11"/>
  <c r="Y11"/>
  <c r="Z134" i="13" l="1"/>
  <c r="K134"/>
  <c r="Z135" s="1"/>
  <c r="Z91"/>
  <c r="K91"/>
  <c r="N92"/>
  <c r="A93" s="1"/>
  <c r="A92"/>
  <c r="K109"/>
  <c r="Z110" s="1"/>
  <c r="Z109"/>
  <c r="K159"/>
  <c r="Z159"/>
  <c r="Z57"/>
  <c r="K57"/>
  <c r="Z58" s="1"/>
  <c r="Z32"/>
  <c r="K32"/>
  <c r="Z33" s="1"/>
  <c r="X11"/>
  <c r="Y11"/>
  <c r="N15"/>
  <c r="A16" s="1"/>
  <c r="A15"/>
  <c r="Z14"/>
  <c r="K14"/>
  <c r="AA11"/>
  <c r="B12"/>
  <c r="Z153" i="12"/>
  <c r="K153"/>
  <c r="Z154" s="1"/>
  <c r="Z97"/>
  <c r="K97"/>
  <c r="Z135"/>
  <c r="K135"/>
  <c r="Z136" s="1"/>
  <c r="K162"/>
  <c r="Z163" s="1"/>
  <c r="Z162"/>
  <c r="N98"/>
  <c r="A98"/>
  <c r="Z126"/>
  <c r="K126"/>
  <c r="Z127" s="1"/>
  <c r="Z144"/>
  <c r="K144"/>
  <c r="Z145" s="1"/>
  <c r="Z117"/>
  <c r="K117"/>
  <c r="Z118" s="1"/>
  <c r="Y11"/>
  <c r="K62" i="11"/>
  <c r="Z62"/>
  <c r="K76" i="12"/>
  <c r="Z76"/>
  <c r="K123" i="11"/>
  <c r="Z123"/>
  <c r="K106"/>
  <c r="Z106"/>
  <c r="K54"/>
  <c r="Z54"/>
  <c r="K72" i="10"/>
  <c r="Z72"/>
  <c r="K22" i="12"/>
  <c r="Z22"/>
  <c r="K158" i="11"/>
  <c r="Z158"/>
  <c r="Z85" i="12"/>
  <c r="K85"/>
  <c r="A13"/>
  <c r="N13"/>
  <c r="Z18" i="11"/>
  <c r="K18"/>
  <c r="K36" i="10"/>
  <c r="Z36"/>
  <c r="K36" i="11"/>
  <c r="Z36"/>
  <c r="Z153" i="10"/>
  <c r="K153"/>
  <c r="K63"/>
  <c r="Z63"/>
  <c r="K161"/>
  <c r="Z161"/>
  <c r="K125"/>
  <c r="Z125"/>
  <c r="Z96" i="11"/>
  <c r="K96"/>
  <c r="K68" i="12"/>
  <c r="Z68"/>
  <c r="K31"/>
  <c r="Z31"/>
  <c r="K44" i="11"/>
  <c r="Z44"/>
  <c r="Z117" i="10"/>
  <c r="K117"/>
  <c r="Z44"/>
  <c r="K44"/>
  <c r="Z150" i="11"/>
  <c r="K150"/>
  <c r="K40" i="12"/>
  <c r="Z40"/>
  <c r="K27" i="11"/>
  <c r="Z27"/>
  <c r="B9"/>
  <c r="AA8"/>
  <c r="Z115"/>
  <c r="K115"/>
  <c r="AA9" i="12"/>
  <c r="B10"/>
  <c r="K108" i="10"/>
  <c r="Z108"/>
  <c r="Z11" i="12"/>
  <c r="K11"/>
  <c r="K79" i="11"/>
  <c r="Z79"/>
  <c r="A69" i="12"/>
  <c r="N69"/>
  <c r="K71" i="11"/>
  <c r="Z71"/>
  <c r="K80" i="10"/>
  <c r="Z80"/>
  <c r="N18" i="11"/>
  <c r="A18"/>
  <c r="K48" i="12"/>
  <c r="Z48"/>
  <c r="A42"/>
  <c r="N42"/>
  <c r="Z144" i="10"/>
  <c r="K144"/>
  <c r="Z141" i="11"/>
  <c r="K141"/>
  <c r="N96"/>
  <c r="A96"/>
  <c r="K57" i="12"/>
  <c r="Z57"/>
  <c r="Z27" i="10"/>
  <c r="K27"/>
  <c r="Z133" i="11"/>
  <c r="K133"/>
  <c r="Y12" i="12"/>
  <c r="X12"/>
  <c r="X90" i="11"/>
  <c r="Y90"/>
  <c r="Y54"/>
  <c r="X54"/>
  <c r="Y105" i="10"/>
  <c r="X105"/>
  <c r="Z137"/>
  <c r="K137"/>
  <c r="N99"/>
  <c r="A99"/>
  <c r="K99"/>
  <c r="Z99"/>
  <c r="X26" i="11"/>
  <c r="Y26"/>
  <c r="Y10"/>
  <c r="K56" i="10"/>
  <c r="Z56"/>
  <c r="Y28"/>
  <c r="X28"/>
  <c r="N19" i="7"/>
  <c r="A19"/>
  <c r="K35" i="9"/>
  <c r="Z35"/>
  <c r="K147"/>
  <c r="Z147"/>
  <c r="C9" i="10"/>
  <c r="AA8"/>
  <c r="Z60" i="9"/>
  <c r="K60"/>
  <c r="Z68"/>
  <c r="K68"/>
  <c r="K75"/>
  <c r="Z75"/>
  <c r="K43"/>
  <c r="Z43"/>
  <c r="K140"/>
  <c r="Z140"/>
  <c r="Z99"/>
  <c r="K99"/>
  <c r="Z132"/>
  <c r="K132"/>
  <c r="Y101" i="7"/>
  <c r="X101"/>
  <c r="Z89" i="9"/>
  <c r="K89"/>
  <c r="N89"/>
  <c r="A90" s="1"/>
  <c r="X21" i="7"/>
  <c r="Y22" s="1"/>
  <c r="B12" i="10"/>
  <c r="N18"/>
  <c r="A19" s="1"/>
  <c r="Z18"/>
  <c r="K18"/>
  <c r="X10"/>
  <c r="Y10"/>
  <c r="K107" i="9"/>
  <c r="Z107"/>
  <c r="K115"/>
  <c r="Z115"/>
  <c r="X99"/>
  <c r="Y99"/>
  <c r="K158" i="7"/>
  <c r="Z158"/>
  <c r="K79"/>
  <c r="Z79"/>
  <c r="Z106"/>
  <c r="K106"/>
  <c r="C9" i="9"/>
  <c r="AA8"/>
  <c r="K123" i="7"/>
  <c r="Z123"/>
  <c r="K115"/>
  <c r="Z115"/>
  <c r="Z62"/>
  <c r="K62"/>
  <c r="Z141"/>
  <c r="K141"/>
  <c r="K150"/>
  <c r="Z150"/>
  <c r="Z71"/>
  <c r="K71"/>
  <c r="Z26" i="9"/>
  <c r="K26"/>
  <c r="X22"/>
  <c r="Y22"/>
  <c r="N18"/>
  <c r="A19" s="1"/>
  <c r="Z18"/>
  <c r="K18"/>
  <c r="B12"/>
  <c r="Y10"/>
  <c r="X10"/>
  <c r="N97" i="7"/>
  <c r="A98" s="1"/>
  <c r="K134"/>
  <c r="Z134"/>
  <c r="K97"/>
  <c r="Z97"/>
  <c r="K55"/>
  <c r="Z55"/>
  <c r="K44"/>
  <c r="Z44"/>
  <c r="C9" i="6"/>
  <c r="AA8"/>
  <c r="C9" i="7"/>
  <c r="AA8"/>
  <c r="K27"/>
  <c r="Z27"/>
  <c r="Z37"/>
  <c r="K37"/>
  <c r="B12" i="6"/>
  <c r="X99"/>
  <c r="Y99"/>
  <c r="N19"/>
  <c r="A19"/>
  <c r="X10" i="7"/>
  <c r="Y10"/>
  <c r="B18"/>
  <c r="Z18"/>
  <c r="K18"/>
  <c r="K118" i="6"/>
  <c r="Z118"/>
  <c r="Y10"/>
  <c r="X10"/>
  <c r="Z44"/>
  <c r="K44"/>
  <c r="K28"/>
  <c r="Z28"/>
  <c r="Z62"/>
  <c r="K62"/>
  <c r="Y22"/>
  <c r="X22"/>
  <c r="Z53"/>
  <c r="K53"/>
  <c r="K18"/>
  <c r="Z18"/>
  <c r="Z71"/>
  <c r="K71"/>
  <c r="Z72" s="1"/>
  <c r="K37"/>
  <c r="Z38" s="1"/>
  <c r="Z37"/>
  <c r="K93" i="2"/>
  <c r="Z93"/>
  <c r="K54"/>
  <c r="Z54"/>
  <c r="Z60"/>
  <c r="K60"/>
  <c r="K61" s="1"/>
  <c r="X24"/>
  <c r="Y24"/>
  <c r="K37"/>
  <c r="Z38" s="1"/>
  <c r="K17"/>
  <c r="Z18" s="1"/>
  <c r="K28"/>
  <c r="Z29" s="1"/>
  <c r="X12"/>
  <c r="Y12"/>
  <c r="K92" i="13" l="1"/>
  <c r="Z93" s="1"/>
  <c r="Z92"/>
  <c r="B13"/>
  <c r="AA12"/>
  <c r="Z15"/>
  <c r="K15"/>
  <c r="Z16" s="1"/>
  <c r="X12"/>
  <c r="Y12"/>
  <c r="Z98" i="12"/>
  <c r="K98"/>
  <c r="A99"/>
  <c r="N99"/>
  <c r="A100" s="1"/>
  <c r="Z58"/>
  <c r="K58"/>
  <c r="K81" i="10"/>
  <c r="Z81"/>
  <c r="Z80" i="11"/>
  <c r="K80"/>
  <c r="AA9"/>
  <c r="B10"/>
  <c r="K41" i="12"/>
  <c r="Z41"/>
  <c r="K32"/>
  <c r="Z32"/>
  <c r="Z162" i="10"/>
  <c r="K162"/>
  <c r="Z37" i="11"/>
  <c r="K37"/>
  <c r="K23" i="12"/>
  <c r="Z23"/>
  <c r="Z55" i="11"/>
  <c r="K55"/>
  <c r="Z77" i="12"/>
  <c r="K77"/>
  <c r="K134" i="11"/>
  <c r="Z134"/>
  <c r="K142"/>
  <c r="Z142"/>
  <c r="A43" i="12"/>
  <c r="N43"/>
  <c r="A44" s="1"/>
  <c r="N70"/>
  <c r="A71" s="1"/>
  <c r="A70"/>
  <c r="Z12"/>
  <c r="K12"/>
  <c r="AA10"/>
  <c r="B11"/>
  <c r="Z151" i="11"/>
  <c r="K151"/>
  <c r="K118" i="10"/>
  <c r="Z118"/>
  <c r="Z97" i="11"/>
  <c r="K97"/>
  <c r="K19"/>
  <c r="Z19"/>
  <c r="Z86" i="12"/>
  <c r="K86"/>
  <c r="N97" i="11"/>
  <c r="A97"/>
  <c r="K49" i="12"/>
  <c r="Z49"/>
  <c r="A19" i="11"/>
  <c r="N19"/>
  <c r="Z72"/>
  <c r="K72"/>
  <c r="K109" i="10"/>
  <c r="Z109"/>
  <c r="Z28" i="11"/>
  <c r="K28"/>
  <c r="K45"/>
  <c r="Z45"/>
  <c r="Z69" i="12"/>
  <c r="K69"/>
  <c r="Z126" i="10"/>
  <c r="K126"/>
  <c r="Z64"/>
  <c r="K64"/>
  <c r="K37"/>
  <c r="Z37"/>
  <c r="Z159" i="11"/>
  <c r="K159"/>
  <c r="Z73" i="10"/>
  <c r="K73"/>
  <c r="K107" i="11"/>
  <c r="Z107"/>
  <c r="K124"/>
  <c r="Z124"/>
  <c r="K63"/>
  <c r="Z63"/>
  <c r="K28" i="10"/>
  <c r="Z28"/>
  <c r="K145"/>
  <c r="Z145"/>
  <c r="Z116" i="11"/>
  <c r="K116"/>
  <c r="K45" i="10"/>
  <c r="Z45"/>
  <c r="Z154"/>
  <c r="K154"/>
  <c r="N14" i="12"/>
  <c r="A14"/>
  <c r="Y13"/>
  <c r="X13"/>
  <c r="Y91" i="11"/>
  <c r="X91"/>
  <c r="X55"/>
  <c r="Y55"/>
  <c r="X106" i="10"/>
  <c r="Y106"/>
  <c r="N100"/>
  <c r="A100"/>
  <c r="Z100"/>
  <c r="K100"/>
  <c r="K138"/>
  <c r="Z139" s="1"/>
  <c r="Z138"/>
  <c r="Y27" i="11"/>
  <c r="X27"/>
  <c r="Y11"/>
  <c r="Z57" i="10"/>
  <c r="K57"/>
  <c r="Z58" s="1"/>
  <c r="Y29"/>
  <c r="X29"/>
  <c r="N20" i="7"/>
  <c r="A21" s="1"/>
  <c r="A20"/>
  <c r="K44" i="9"/>
  <c r="Z44"/>
  <c r="C10" i="10"/>
  <c r="AA9"/>
  <c r="Y102" i="7"/>
  <c r="X102"/>
  <c r="K133" i="9"/>
  <c r="Z133"/>
  <c r="K100"/>
  <c r="Z100"/>
  <c r="Z69"/>
  <c r="K69"/>
  <c r="Z70" s="1"/>
  <c r="K141"/>
  <c r="Z142" s="1"/>
  <c r="Z141"/>
  <c r="Z76"/>
  <c r="K76"/>
  <c r="Z77" s="1"/>
  <c r="Z148"/>
  <c r="K148"/>
  <c r="Z149" s="1"/>
  <c r="Z36"/>
  <c r="K36"/>
  <c r="N90"/>
  <c r="A91" s="1"/>
  <c r="Z90"/>
  <c r="K90"/>
  <c r="K61"/>
  <c r="Z61"/>
  <c r="X22" i="7"/>
  <c r="X23" s="1"/>
  <c r="Z19" i="10"/>
  <c r="K19"/>
  <c r="N19"/>
  <c r="Y11"/>
  <c r="X11"/>
  <c r="B13"/>
  <c r="Z108" i="9"/>
  <c r="K108"/>
  <c r="Z116"/>
  <c r="K116"/>
  <c r="Y100"/>
  <c r="X100"/>
  <c r="Z27"/>
  <c r="K27"/>
  <c r="C10"/>
  <c r="AA9"/>
  <c r="K142" i="7"/>
  <c r="Z142"/>
  <c r="Z72"/>
  <c r="K72"/>
  <c r="Z116"/>
  <c r="K116"/>
  <c r="K124"/>
  <c r="Z124"/>
  <c r="K80"/>
  <c r="Z80"/>
  <c r="K159"/>
  <c r="Z159"/>
  <c r="K151"/>
  <c r="Z151"/>
  <c r="Z63"/>
  <c r="K63"/>
  <c r="Z107"/>
  <c r="K107"/>
  <c r="Y23" i="9"/>
  <c r="X23"/>
  <c r="Z19"/>
  <c r="K19"/>
  <c r="N19"/>
  <c r="A20" s="1"/>
  <c r="X11"/>
  <c r="Y11"/>
  <c r="B13"/>
  <c r="K98" i="7"/>
  <c r="Z98"/>
  <c r="Z135"/>
  <c r="K135"/>
  <c r="Z136" s="1"/>
  <c r="N98"/>
  <c r="A99" s="1"/>
  <c r="Z56"/>
  <c r="K56"/>
  <c r="Z57" s="1"/>
  <c r="C10"/>
  <c r="AA9"/>
  <c r="Z45"/>
  <c r="K45"/>
  <c r="K28"/>
  <c r="Z28"/>
  <c r="C10" i="6"/>
  <c r="AA9"/>
  <c r="K38" i="7"/>
  <c r="Z39" s="1"/>
  <c r="Z38"/>
  <c r="B13" i="6"/>
  <c r="N20"/>
  <c r="A21" s="1"/>
  <c r="A20"/>
  <c r="Z19" i="7"/>
  <c r="K19"/>
  <c r="B19"/>
  <c r="X11"/>
  <c r="Y11"/>
  <c r="Z119" i="6"/>
  <c r="K119"/>
  <c r="Z100"/>
  <c r="K100"/>
  <c r="Z19"/>
  <c r="K19"/>
  <c r="Z54"/>
  <c r="K54"/>
  <c r="Y11"/>
  <c r="X11"/>
  <c r="K29"/>
  <c r="Z29"/>
  <c r="X23"/>
  <c r="Y23"/>
  <c r="Z63"/>
  <c r="K63"/>
  <c r="Z45"/>
  <c r="K45"/>
  <c r="K94" i="2"/>
  <c r="Z94"/>
  <c r="K55"/>
  <c r="Z56" s="1"/>
  <c r="Z55"/>
  <c r="K18"/>
  <c r="Z19" s="1"/>
  <c r="Z61"/>
  <c r="X25"/>
  <c r="Y25"/>
  <c r="K29"/>
  <c r="Z30" s="1"/>
  <c r="Y13"/>
  <c r="X13"/>
  <c r="X13" i="13" l="1"/>
  <c r="Y13"/>
  <c r="B14"/>
  <c r="AA13"/>
  <c r="K99" i="12"/>
  <c r="Z100" s="1"/>
  <c r="Z99"/>
  <c r="N15"/>
  <c r="A15"/>
  <c r="Z46" i="10"/>
  <c r="K46"/>
  <c r="Z146"/>
  <c r="K146"/>
  <c r="K64" i="11"/>
  <c r="Z64"/>
  <c r="K108"/>
  <c r="Z108"/>
  <c r="K110" i="10"/>
  <c r="Z110"/>
  <c r="K50" i="12"/>
  <c r="Z50"/>
  <c r="K20" i="11"/>
  <c r="Z20"/>
  <c r="Z135"/>
  <c r="K135"/>
  <c r="Z136" s="1"/>
  <c r="Z24" i="12"/>
  <c r="K24"/>
  <c r="Z42"/>
  <c r="K42"/>
  <c r="K117" i="11"/>
  <c r="Z118" s="1"/>
  <c r="Z117"/>
  <c r="Z160"/>
  <c r="K160"/>
  <c r="Z161" s="1"/>
  <c r="Z65" i="10"/>
  <c r="K65"/>
  <c r="K70" i="12"/>
  <c r="Z71" s="1"/>
  <c r="Z70"/>
  <c r="K73" i="11"/>
  <c r="Z74" s="1"/>
  <c r="Z73"/>
  <c r="K98"/>
  <c r="Z98"/>
  <c r="AA11" i="12"/>
  <c r="B12"/>
  <c r="K163" i="10"/>
  <c r="Z163"/>
  <c r="K81" i="11"/>
  <c r="Z82" s="1"/>
  <c r="Z81"/>
  <c r="K59" i="12"/>
  <c r="Z59"/>
  <c r="Z20" i="10"/>
  <c r="K20"/>
  <c r="Z29"/>
  <c r="K29"/>
  <c r="Z125" i="11"/>
  <c r="K125"/>
  <c r="Z38" i="10"/>
  <c r="K38"/>
  <c r="Z39" s="1"/>
  <c r="K46" i="11"/>
  <c r="Z46"/>
  <c r="A98"/>
  <c r="N98"/>
  <c r="Z119" i="10"/>
  <c r="K119"/>
  <c r="Z120" s="1"/>
  <c r="Z143" i="11"/>
  <c r="K143"/>
  <c r="K33" i="12"/>
  <c r="Z33"/>
  <c r="Z82" i="10"/>
  <c r="K82"/>
  <c r="N20"/>
  <c r="A20"/>
  <c r="Z155"/>
  <c r="K155"/>
  <c r="Z156" s="1"/>
  <c r="Z74"/>
  <c r="K74"/>
  <c r="Z75" s="1"/>
  <c r="K127"/>
  <c r="Z127"/>
  <c r="Z29" i="11"/>
  <c r="K29"/>
  <c r="N20"/>
  <c r="A20"/>
  <c r="Z87" i="12"/>
  <c r="K87"/>
  <c r="Z88" s="1"/>
  <c r="K152" i="11"/>
  <c r="Z153" s="1"/>
  <c r="Z152"/>
  <c r="Z13" i="12"/>
  <c r="K13"/>
  <c r="Z78"/>
  <c r="K78"/>
  <c r="Z56" i="11"/>
  <c r="K56"/>
  <c r="Z57" s="1"/>
  <c r="K38"/>
  <c r="Z39" s="1"/>
  <c r="Z38"/>
  <c r="AA10"/>
  <c r="B11"/>
  <c r="Y14" i="12"/>
  <c r="X14"/>
  <c r="X92" i="11"/>
  <c r="Y92"/>
  <c r="Y56"/>
  <c r="X56"/>
  <c r="N101" i="10"/>
  <c r="A101"/>
  <c r="X107"/>
  <c r="Y107"/>
  <c r="Z101"/>
  <c r="K101"/>
  <c r="Y28" i="11"/>
  <c r="X28"/>
  <c r="Y12"/>
  <c r="Y30" i="10"/>
  <c r="X30"/>
  <c r="Z134" i="9"/>
  <c r="K134"/>
  <c r="Z135" s="1"/>
  <c r="C11" i="10"/>
  <c r="AA10"/>
  <c r="N91" i="9"/>
  <c r="A92" s="1"/>
  <c r="K62"/>
  <c r="Z63" s="1"/>
  <c r="Z62"/>
  <c r="K101"/>
  <c r="Z102" s="1"/>
  <c r="Z101"/>
  <c r="K45"/>
  <c r="Z45"/>
  <c r="Z91"/>
  <c r="K91"/>
  <c r="K37"/>
  <c r="Z38" s="1"/>
  <c r="Z37"/>
  <c r="X103" i="7"/>
  <c r="Y103"/>
  <c r="Y23"/>
  <c r="K28" i="9"/>
  <c r="Z28"/>
  <c r="B14" i="10"/>
  <c r="X12"/>
  <c r="Y12"/>
  <c r="K117" i="9"/>
  <c r="Z117"/>
  <c r="K109"/>
  <c r="Z110" s="1"/>
  <c r="Z109"/>
  <c r="Y101"/>
  <c r="X101"/>
  <c r="Z108" i="7"/>
  <c r="K108"/>
  <c r="Z160"/>
  <c r="K160"/>
  <c r="Z161" s="1"/>
  <c r="K125"/>
  <c r="Z125"/>
  <c r="K117"/>
  <c r="Z118" s="1"/>
  <c r="Z117"/>
  <c r="C11" i="9"/>
  <c r="AA10"/>
  <c r="K64" i="7"/>
  <c r="Z64"/>
  <c r="K73"/>
  <c r="Z74" s="1"/>
  <c r="Z73"/>
  <c r="K143"/>
  <c r="Z143"/>
  <c r="K152"/>
  <c r="Z153" s="1"/>
  <c r="Z152"/>
  <c r="K81"/>
  <c r="Z82" s="1"/>
  <c r="Z81"/>
  <c r="N20" i="9"/>
  <c r="A21" s="1"/>
  <c r="X24"/>
  <c r="Y24"/>
  <c r="K20"/>
  <c r="Z21" s="1"/>
  <c r="Z20"/>
  <c r="X12"/>
  <c r="Y12"/>
  <c r="B14"/>
  <c r="N99" i="7"/>
  <c r="A100" s="1"/>
  <c r="Z99"/>
  <c r="K99"/>
  <c r="C11" i="6"/>
  <c r="AA10"/>
  <c r="C11" i="7"/>
  <c r="AA10"/>
  <c r="K29"/>
  <c r="Z29"/>
  <c r="Z46"/>
  <c r="K46"/>
  <c r="B14" i="6"/>
  <c r="B20" i="7"/>
  <c r="X24"/>
  <c r="Y24"/>
  <c r="X12"/>
  <c r="Y12"/>
  <c r="Z20"/>
  <c r="K20"/>
  <c r="Z120" i="6"/>
  <c r="K120"/>
  <c r="K101"/>
  <c r="Z101"/>
  <c r="Y24"/>
  <c r="X24"/>
  <c r="Y12"/>
  <c r="X12"/>
  <c r="Z20"/>
  <c r="K20"/>
  <c r="X100"/>
  <c r="Y100"/>
  <c r="Z30"/>
  <c r="K30"/>
  <c r="Z31" s="1"/>
  <c r="Z46"/>
  <c r="K46"/>
  <c r="Z47" s="1"/>
  <c r="Z64"/>
  <c r="K64"/>
  <c r="Z65" s="1"/>
  <c r="K55"/>
  <c r="Z56" s="1"/>
  <c r="Z55"/>
  <c r="K95" i="2"/>
  <c r="Z95"/>
  <c r="K19"/>
  <c r="Z20" s="1"/>
  <c r="Z62"/>
  <c r="K62"/>
  <c r="Y26"/>
  <c r="X26"/>
  <c r="K30"/>
  <c r="Z31" s="1"/>
  <c r="K39"/>
  <c r="Z40" s="1"/>
  <c r="Y14"/>
  <c r="X14"/>
  <c r="X14" i="13" l="1"/>
  <c r="Y14"/>
  <c r="B15"/>
  <c r="B16" s="1"/>
  <c r="AA14"/>
  <c r="K128" i="10"/>
  <c r="Z128"/>
  <c r="A21"/>
  <c r="N21"/>
  <c r="A22" s="1"/>
  <c r="Z34" i="12"/>
  <c r="K34"/>
  <c r="Z35" s="1"/>
  <c r="Z47" i="11"/>
  <c r="K47"/>
  <c r="Z48" s="1"/>
  <c r="K60" i="12"/>
  <c r="Z60"/>
  <c r="Z164" i="10"/>
  <c r="K164"/>
  <c r="Z165" s="1"/>
  <c r="K21" i="11"/>
  <c r="Z22" s="1"/>
  <c r="Z21"/>
  <c r="K51" i="12"/>
  <c r="Z51"/>
  <c r="K109" i="11"/>
  <c r="Z110" s="1"/>
  <c r="Z109"/>
  <c r="N16" i="12"/>
  <c r="A17" s="1"/>
  <c r="A16"/>
  <c r="AA11" i="11"/>
  <c r="B12"/>
  <c r="K126"/>
  <c r="Z127" s="1"/>
  <c r="Z126"/>
  <c r="K43" i="12"/>
  <c r="Z44" s="1"/>
  <c r="Z43"/>
  <c r="Z147" i="10"/>
  <c r="K147"/>
  <c r="Z148" s="1"/>
  <c r="A21" i="11"/>
  <c r="N21"/>
  <c r="A22" s="1"/>
  <c r="Z99"/>
  <c r="K99"/>
  <c r="Z111" i="10"/>
  <c r="K111"/>
  <c r="Z112" s="1"/>
  <c r="Z65" i="11"/>
  <c r="K65"/>
  <c r="Z66" s="1"/>
  <c r="Z79" i="12"/>
  <c r="K79"/>
  <c r="Z80" s="1"/>
  <c r="Z14"/>
  <c r="K14"/>
  <c r="K30" i="11"/>
  <c r="Z31" s="1"/>
  <c r="Z30"/>
  <c r="K83" i="10"/>
  <c r="Z84" s="1"/>
  <c r="Z83"/>
  <c r="K144" i="11"/>
  <c r="Z145" s="1"/>
  <c r="Z144"/>
  <c r="N99"/>
  <c r="A99"/>
  <c r="K30" i="10"/>
  <c r="Z31" s="1"/>
  <c r="Z30"/>
  <c r="K21"/>
  <c r="Z22" s="1"/>
  <c r="Z21"/>
  <c r="AA12" i="12"/>
  <c r="B13"/>
  <c r="K66" i="10"/>
  <c r="Z67" s="1"/>
  <c r="Z66"/>
  <c r="Z25" i="12"/>
  <c r="K25"/>
  <c r="Z26" s="1"/>
  <c r="Z47" i="10"/>
  <c r="K47"/>
  <c r="X15" i="12"/>
  <c r="Y15"/>
  <c r="Y93" i="11"/>
  <c r="X93"/>
  <c r="X57"/>
  <c r="Y57"/>
  <c r="N102" i="10"/>
  <c r="A103" s="1"/>
  <c r="A102"/>
  <c r="Z102"/>
  <c r="K102"/>
  <c r="Z103" s="1"/>
  <c r="X108"/>
  <c r="Y108"/>
  <c r="Y29" i="11"/>
  <c r="X29"/>
  <c r="Y13"/>
  <c r="X31" i="10"/>
  <c r="Y31"/>
  <c r="K92" i="9"/>
  <c r="Z92"/>
  <c r="N92"/>
  <c r="A93" s="1"/>
  <c r="Y104" i="7"/>
  <c r="X104"/>
  <c r="K46" i="9"/>
  <c r="Z46"/>
  <c r="C12" i="10"/>
  <c r="AA11"/>
  <c r="Z29" i="9"/>
  <c r="K29"/>
  <c r="Z30" s="1"/>
  <c r="X13" i="10"/>
  <c r="Y13"/>
  <c r="B15"/>
  <c r="Z118" i="9"/>
  <c r="K118"/>
  <c r="X102"/>
  <c r="Y102"/>
  <c r="Z109" i="7"/>
  <c r="K109"/>
  <c r="Z110" s="1"/>
  <c r="K144"/>
  <c r="Z145" s="1"/>
  <c r="Z144"/>
  <c r="C12" i="9"/>
  <c r="AA11"/>
  <c r="K126" i="7"/>
  <c r="Z127" s="1"/>
  <c r="Z126"/>
  <c r="Z65"/>
  <c r="K65"/>
  <c r="Z66" s="1"/>
  <c r="X25" i="9"/>
  <c r="Y25"/>
  <c r="Y13"/>
  <c r="X13"/>
  <c r="B15"/>
  <c r="Z100" i="7"/>
  <c r="K100"/>
  <c r="Z101" s="1"/>
  <c r="K47"/>
  <c r="Z48" s="1"/>
  <c r="Z47"/>
  <c r="Z30"/>
  <c r="K30"/>
  <c r="Z31" s="1"/>
  <c r="C12" i="6"/>
  <c r="AA11"/>
  <c r="AA11" i="7"/>
  <c r="C12"/>
  <c r="B15" i="6"/>
  <c r="Z21" i="7"/>
  <c r="K21"/>
  <c r="Z22" s="1"/>
  <c r="X25"/>
  <c r="Y25"/>
  <c r="X13"/>
  <c r="Y13"/>
  <c r="B21"/>
  <c r="K121" i="6"/>
  <c r="Z121"/>
  <c r="Z102"/>
  <c r="K102"/>
  <c r="Y101"/>
  <c r="X101"/>
  <c r="Y13"/>
  <c r="X13"/>
  <c r="Y25"/>
  <c r="X25"/>
  <c r="K21"/>
  <c r="Z22" s="1"/>
  <c r="Z21"/>
  <c r="K96" i="2"/>
  <c r="Z97" s="1"/>
  <c r="Z96"/>
  <c r="K20"/>
  <c r="Z21" s="1"/>
  <c r="Y15"/>
  <c r="X15"/>
  <c r="Z63"/>
  <c r="K63"/>
  <c r="Y27"/>
  <c r="X27"/>
  <c r="K40"/>
  <c r="Z41" s="1"/>
  <c r="AA16" i="13" l="1"/>
  <c r="B17"/>
  <c r="Y15"/>
  <c r="X15"/>
  <c r="AA15"/>
  <c r="Z61" i="12"/>
  <c r="K61"/>
  <c r="Z62" s="1"/>
  <c r="N100" i="11"/>
  <c r="A101" s="1"/>
  <c r="A100"/>
  <c r="Z48" i="10"/>
  <c r="K48"/>
  <c r="Z49" s="1"/>
  <c r="AA13" i="12"/>
  <c r="B14"/>
  <c r="K100" i="11"/>
  <c r="Z101" s="1"/>
  <c r="Z100"/>
  <c r="B13"/>
  <c r="AA12"/>
  <c r="Z52" i="12"/>
  <c r="K52"/>
  <c r="Z53" s="1"/>
  <c r="Z129" i="10"/>
  <c r="K129"/>
  <c r="Z130" s="1"/>
  <c r="Z15" i="12"/>
  <c r="K15"/>
  <c r="X16"/>
  <c r="Y16"/>
  <c r="X94" i="11"/>
  <c r="Y94"/>
  <c r="Y58"/>
  <c r="X58"/>
  <c r="Y109" i="10"/>
  <c r="X109"/>
  <c r="X30" i="11"/>
  <c r="Y30"/>
  <c r="Y14"/>
  <c r="Y32" i="10"/>
  <c r="X32"/>
  <c r="K93" i="9"/>
  <c r="Z94" s="1"/>
  <c r="Z93"/>
  <c r="Y105" i="7"/>
  <c r="X105"/>
  <c r="C13" i="10"/>
  <c r="AA12"/>
  <c r="Z47" i="9"/>
  <c r="K47"/>
  <c r="Z48" s="1"/>
  <c r="N93"/>
  <c r="A94" s="1"/>
  <c r="B16" i="10"/>
  <c r="Y14"/>
  <c r="X14"/>
  <c r="Z119" i="9"/>
  <c r="K119"/>
  <c r="Z120" s="1"/>
  <c r="Y103"/>
  <c r="X103"/>
  <c r="C13"/>
  <c r="AA12"/>
  <c r="X26"/>
  <c r="Y26"/>
  <c r="B16"/>
  <c r="Y14"/>
  <c r="X14"/>
  <c r="C13" i="6"/>
  <c r="AA12"/>
  <c r="C13" i="7"/>
  <c r="AA12"/>
  <c r="B16" i="6"/>
  <c r="B22" i="7"/>
  <c r="Y14"/>
  <c r="X14"/>
  <c r="Y26"/>
  <c r="X26"/>
  <c r="K122" i="6"/>
  <c r="Z122"/>
  <c r="Z103"/>
  <c r="K103"/>
  <c r="X26"/>
  <c r="Y26"/>
  <c r="Y102"/>
  <c r="X102"/>
  <c r="X14"/>
  <c r="Y14"/>
  <c r="K21" i="2"/>
  <c r="Z22" s="1"/>
  <c r="Y16"/>
  <c r="X16"/>
  <c r="Y17" s="1"/>
  <c r="Z64"/>
  <c r="K64"/>
  <c r="X28"/>
  <c r="Y28"/>
  <c r="K41"/>
  <c r="Z42" s="1"/>
  <c r="B18" i="13" l="1"/>
  <c r="AA17"/>
  <c r="Y16"/>
  <c r="X16"/>
  <c r="K16" i="12"/>
  <c r="Z17" s="1"/>
  <c r="Z16"/>
  <c r="B14" i="11"/>
  <c r="AA13"/>
  <c r="AA14" i="12"/>
  <c r="B15"/>
  <c r="X17"/>
  <c r="Y17"/>
  <c r="Y95" i="11"/>
  <c r="X95"/>
  <c r="X59"/>
  <c r="Y59"/>
  <c r="Y110" i="10"/>
  <c r="X110"/>
  <c r="Y31" i="11"/>
  <c r="X31"/>
  <c r="Y15"/>
  <c r="Y33" i="10"/>
  <c r="X33"/>
  <c r="X106" i="7"/>
  <c r="Y106"/>
  <c r="C14" i="10"/>
  <c r="AA13"/>
  <c r="B17"/>
  <c r="X15"/>
  <c r="Y15"/>
  <c r="X104" i="9"/>
  <c r="Y104"/>
  <c r="C14"/>
  <c r="AA13"/>
  <c r="X27"/>
  <c r="Y27"/>
  <c r="X15"/>
  <c r="Y15"/>
  <c r="B17"/>
  <c r="C14" i="6"/>
  <c r="AA13"/>
  <c r="AA13" i="7"/>
  <c r="C14"/>
  <c r="B17" i="6"/>
  <c r="B23" i="7"/>
  <c r="X15"/>
  <c r="Y15"/>
  <c r="Y27"/>
  <c r="X27"/>
  <c r="Z104" i="6"/>
  <c r="K104"/>
  <c r="Y27"/>
  <c r="X27"/>
  <c r="X15"/>
  <c r="Y15"/>
  <c r="X103"/>
  <c r="Y103"/>
  <c r="Z65" i="2"/>
  <c r="X29"/>
  <c r="Y29"/>
  <c r="K42"/>
  <c r="Z43" s="1"/>
  <c r="B19" i="13" l="1"/>
  <c r="AA18"/>
  <c r="X17"/>
  <c r="Y17"/>
  <c r="B16" i="12"/>
  <c r="AA15"/>
  <c r="AA14" i="11"/>
  <c r="B15"/>
  <c r="Y18" i="12"/>
  <c r="X18"/>
  <c r="X96" i="11"/>
  <c r="Y96"/>
  <c r="X60"/>
  <c r="Y60"/>
  <c r="X111" i="10"/>
  <c r="Y111"/>
  <c r="X32" i="11"/>
  <c r="Y32"/>
  <c r="Y16"/>
  <c r="X34" i="10"/>
  <c r="Y34"/>
  <c r="Y107" i="7"/>
  <c r="X107"/>
  <c r="C15" i="10"/>
  <c r="AA14"/>
  <c r="X28" i="9"/>
  <c r="Y28"/>
  <c r="B18" i="10"/>
  <c r="B19" s="1"/>
  <c r="B20" s="1"/>
  <c r="Y16"/>
  <c r="X16"/>
  <c r="Y17" s="1"/>
  <c r="X105" i="9"/>
  <c r="Y105"/>
  <c r="C15"/>
  <c r="AA14"/>
  <c r="Y16"/>
  <c r="X16"/>
  <c r="B18"/>
  <c r="B19" s="1"/>
  <c r="C15" i="6"/>
  <c r="AA14"/>
  <c r="C15" i="7"/>
  <c r="AA14"/>
  <c r="B18" i="6"/>
  <c r="X28" i="7"/>
  <c r="Y28"/>
  <c r="X16"/>
  <c r="Y17" s="1"/>
  <c r="Y16"/>
  <c r="B24"/>
  <c r="K105" i="6"/>
  <c r="Z105"/>
  <c r="Y16"/>
  <c r="X16"/>
  <c r="Y17" s="1"/>
  <c r="X28"/>
  <c r="Y28"/>
  <c r="X104"/>
  <c r="Y104"/>
  <c r="Z66" i="2"/>
  <c r="K66"/>
  <c r="Y30"/>
  <c r="X30"/>
  <c r="K43"/>
  <c r="Z44" s="1"/>
  <c r="AA19" i="13" l="1"/>
  <c r="B20"/>
  <c r="Y18"/>
  <c r="X18"/>
  <c r="B17" i="12"/>
  <c r="AA16"/>
  <c r="AA15" i="11"/>
  <c r="B16"/>
  <c r="X19" i="12"/>
  <c r="Y19"/>
  <c r="Y97" i="11"/>
  <c r="X97"/>
  <c r="Y61"/>
  <c r="X61"/>
  <c r="Y112" i="10"/>
  <c r="X112"/>
  <c r="X33" i="11"/>
  <c r="Y33"/>
  <c r="B21" i="10"/>
  <c r="X35"/>
  <c r="Y35"/>
  <c r="X108" i="7"/>
  <c r="Y108"/>
  <c r="C16" i="10"/>
  <c r="AA15"/>
  <c r="X29" i="9"/>
  <c r="Y29"/>
  <c r="Y106"/>
  <c r="X106"/>
  <c r="C16"/>
  <c r="AA15"/>
  <c r="Y17"/>
  <c r="X17"/>
  <c r="Y18" s="1"/>
  <c r="B20"/>
  <c r="C16" i="6"/>
  <c r="AA15"/>
  <c r="C16" i="7"/>
  <c r="AA15"/>
  <c r="B19" i="6"/>
  <c r="B25" i="7"/>
  <c r="Y29"/>
  <c r="X29"/>
  <c r="K106" i="6"/>
  <c r="Z106"/>
  <c r="Y105"/>
  <c r="X105"/>
  <c r="X29"/>
  <c r="Y29"/>
  <c r="Z67" i="2"/>
  <c r="K67"/>
  <c r="Y31"/>
  <c r="X31"/>
  <c r="K44"/>
  <c r="Z45" s="1"/>
  <c r="B21" i="13" l="1"/>
  <c r="AA20"/>
  <c r="X19"/>
  <c r="Y19"/>
  <c r="B18" i="12"/>
  <c r="AA17"/>
  <c r="B17" i="11"/>
  <c r="AA16"/>
  <c r="Y20" i="12"/>
  <c r="X20"/>
  <c r="Y98" i="11"/>
  <c r="X98"/>
  <c r="Y62"/>
  <c r="X62"/>
  <c r="X113" i="10"/>
  <c r="Y113"/>
  <c r="Y34" i="11"/>
  <c r="X34"/>
  <c r="B22" i="10"/>
  <c r="Y36"/>
  <c r="X36"/>
  <c r="Y109" i="7"/>
  <c r="X109"/>
  <c r="C17" i="10"/>
  <c r="AA16"/>
  <c r="Y30" i="9"/>
  <c r="X30"/>
  <c r="X107"/>
  <c r="Y107"/>
  <c r="C17"/>
  <c r="AA16"/>
  <c r="B21"/>
  <c r="C17" i="6"/>
  <c r="AA16"/>
  <c r="C17" i="7"/>
  <c r="AA16"/>
  <c r="B20" i="6"/>
  <c r="X30" i="7"/>
  <c r="Y30"/>
  <c r="B26"/>
  <c r="Z107" i="6"/>
  <c r="K107"/>
  <c r="Y106"/>
  <c r="X106"/>
  <c r="Y30"/>
  <c r="X30"/>
  <c r="Z68" i="2"/>
  <c r="K68"/>
  <c r="X32"/>
  <c r="Y32"/>
  <c r="K45"/>
  <c r="Z46" s="1"/>
  <c r="AA21" i="13" l="1"/>
  <c r="B22"/>
  <c r="X20"/>
  <c r="Y20"/>
  <c r="AA18" i="12"/>
  <c r="B19"/>
  <c r="B18" i="11"/>
  <c r="AA17"/>
  <c r="X21" i="12"/>
  <c r="Y21"/>
  <c r="Y99" i="11"/>
  <c r="X99"/>
  <c r="X63"/>
  <c r="Y63"/>
  <c r="X114" i="10"/>
  <c r="Y114"/>
  <c r="Y35" i="11"/>
  <c r="X35"/>
  <c r="B23" i="10"/>
  <c r="X37"/>
  <c r="Y37"/>
  <c r="Y110" i="7"/>
  <c r="X110"/>
  <c r="C18" i="10"/>
  <c r="AA17"/>
  <c r="X31" i="9"/>
  <c r="Y31"/>
  <c r="X108"/>
  <c r="Y108"/>
  <c r="C18"/>
  <c r="AA17"/>
  <c r="B22"/>
  <c r="C18" i="6"/>
  <c r="AA17"/>
  <c r="AA17" i="7"/>
  <c r="C18"/>
  <c r="B21" i="6"/>
  <c r="B27" i="7"/>
  <c r="Y31"/>
  <c r="X31"/>
  <c r="Z108" i="6"/>
  <c r="X107"/>
  <c r="Y107"/>
  <c r="Y31"/>
  <c r="X31"/>
  <c r="Z69" i="2"/>
  <c r="K69"/>
  <c r="Y33"/>
  <c r="X33"/>
  <c r="K46"/>
  <c r="Z47" s="1"/>
  <c r="AA22" i="13" l="1"/>
  <c r="B23"/>
  <c r="Y21"/>
  <c r="X21"/>
  <c r="B20" i="12"/>
  <c r="AA19"/>
  <c r="B19" i="11"/>
  <c r="AA18"/>
  <c r="X22" i="12"/>
  <c r="Y22"/>
  <c r="Y100" i="11"/>
  <c r="X100"/>
  <c r="Y64"/>
  <c r="X64"/>
  <c r="Y115" i="10"/>
  <c r="X115"/>
  <c r="X36" i="11"/>
  <c r="Y36"/>
  <c r="B24" i="10"/>
  <c r="Y38"/>
  <c r="X38"/>
  <c r="Y111" i="7"/>
  <c r="X111"/>
  <c r="C19" i="10"/>
  <c r="C20" s="1"/>
  <c r="AA18"/>
  <c r="X32" i="9"/>
  <c r="Y32"/>
  <c r="Y109"/>
  <c r="X109"/>
  <c r="C19"/>
  <c r="AA18"/>
  <c r="B23"/>
  <c r="C19" i="6"/>
  <c r="AA18"/>
  <c r="AA18" i="7"/>
  <c r="C19"/>
  <c r="B22" i="6"/>
  <c r="X32" i="7"/>
  <c r="Y32"/>
  <c r="B28"/>
  <c r="K109" i="6"/>
  <c r="Z109"/>
  <c r="X108"/>
  <c r="Y108"/>
  <c r="X32"/>
  <c r="Y32"/>
  <c r="Z70" i="2"/>
  <c r="K70"/>
  <c r="Y34"/>
  <c r="X34"/>
  <c r="B24" i="13" l="1"/>
  <c r="AA23"/>
  <c r="Y22"/>
  <c r="X22"/>
  <c r="C21" i="10"/>
  <c r="AA20"/>
  <c r="AA20" i="12"/>
  <c r="B21"/>
  <c r="B20" i="11"/>
  <c r="AA19"/>
  <c r="X23" i="12"/>
  <c r="Y23"/>
  <c r="Y101" i="11"/>
  <c r="X101"/>
  <c r="X65"/>
  <c r="Y65"/>
  <c r="X116" i="10"/>
  <c r="Y116"/>
  <c r="Y37" i="11"/>
  <c r="X37"/>
  <c r="B25" i="10"/>
  <c r="X39"/>
  <c r="Y39"/>
  <c r="Y112" i="7"/>
  <c r="X112"/>
  <c r="AA19" i="10"/>
  <c r="Y33" i="9"/>
  <c r="X33"/>
  <c r="X110"/>
  <c r="Y110"/>
  <c r="C20"/>
  <c r="AA19"/>
  <c r="B24"/>
  <c r="C20" i="6"/>
  <c r="AA19"/>
  <c r="AA19" i="7"/>
  <c r="C20"/>
  <c r="B23" i="6"/>
  <c r="X33" i="7"/>
  <c r="Y33"/>
  <c r="B29"/>
  <c r="K110" i="6"/>
  <c r="Z110"/>
  <c r="Y109"/>
  <c r="X109"/>
  <c r="Y33"/>
  <c r="X33"/>
  <c r="Z71" i="2"/>
  <c r="K71"/>
  <c r="Y35"/>
  <c r="X35"/>
  <c r="B25" i="13" l="1"/>
  <c r="AA24"/>
  <c r="X23"/>
  <c r="Y23"/>
  <c r="B21" i="11"/>
  <c r="AA20"/>
  <c r="C22" i="10"/>
  <c r="AA21"/>
  <c r="AA21" i="12"/>
  <c r="B22"/>
  <c r="X24"/>
  <c r="Y24"/>
  <c r="X102" i="11"/>
  <c r="Y102"/>
  <c r="X66"/>
  <c r="Y66"/>
  <c r="X117" i="10"/>
  <c r="Y117"/>
  <c r="X38" i="11"/>
  <c r="Y38"/>
  <c r="B26" i="10"/>
  <c r="Y40"/>
  <c r="X40"/>
  <c r="X113" i="7"/>
  <c r="Y113"/>
  <c r="Y34" i="9"/>
  <c r="X34"/>
  <c r="Y111"/>
  <c r="X111"/>
  <c r="C21"/>
  <c r="AA20"/>
  <c r="B25"/>
  <c r="C21" i="6"/>
  <c r="AA20"/>
  <c r="C21" i="7"/>
  <c r="AA20"/>
  <c r="B24" i="6"/>
  <c r="B30" i="7"/>
  <c r="Y34"/>
  <c r="X34"/>
  <c r="Z111" i="6"/>
  <c r="K111"/>
  <c r="Y110"/>
  <c r="X110"/>
  <c r="X34"/>
  <c r="Y34"/>
  <c r="Z72" i="2"/>
  <c r="X36"/>
  <c r="Y36"/>
  <c r="AA25" i="13" l="1"/>
  <c r="B26"/>
  <c r="X24"/>
  <c r="Y24"/>
  <c r="AA21" i="11"/>
  <c r="B22"/>
  <c r="B23" i="12"/>
  <c r="AA22"/>
  <c r="C23" i="10"/>
  <c r="AA22"/>
  <c r="Y25" i="12"/>
  <c r="X25"/>
  <c r="Y103" i="11"/>
  <c r="X103"/>
  <c r="X67"/>
  <c r="Y67"/>
  <c r="Y118" i="10"/>
  <c r="X118"/>
  <c r="Y39" i="11"/>
  <c r="X39"/>
  <c r="B27" i="10"/>
  <c r="Y41"/>
  <c r="X41"/>
  <c r="X114" i="7"/>
  <c r="Y114"/>
  <c r="X35" i="9"/>
  <c r="Y35"/>
  <c r="X112"/>
  <c r="Y112"/>
  <c r="C22"/>
  <c r="AA21"/>
  <c r="B26"/>
  <c r="C22" i="6"/>
  <c r="AA21"/>
  <c r="AA21" i="7"/>
  <c r="C22"/>
  <c r="B25" i="6"/>
  <c r="K112"/>
  <c r="Z112"/>
  <c r="X35" i="7"/>
  <c r="Y35"/>
  <c r="B31"/>
  <c r="X111" i="6"/>
  <c r="Y111"/>
  <c r="X35"/>
  <c r="Y35"/>
  <c r="Z73" i="2"/>
  <c r="K73"/>
  <c r="Y37"/>
  <c r="X37"/>
  <c r="AA26" i="13" l="1"/>
  <c r="B27"/>
  <c r="Y25"/>
  <c r="X25"/>
  <c r="C24" i="10"/>
  <c r="AA23"/>
  <c r="B23" i="11"/>
  <c r="AA22"/>
  <c r="AA23" i="12"/>
  <c r="B24"/>
  <c r="Y26"/>
  <c r="X26"/>
  <c r="Y104" i="11"/>
  <c r="X104"/>
  <c r="X68"/>
  <c r="Y68"/>
  <c r="X119" i="10"/>
  <c r="Y119"/>
  <c r="Y40" i="11"/>
  <c r="X40"/>
  <c r="B28" i="10"/>
  <c r="Y42"/>
  <c r="X42"/>
  <c r="X115" i="7"/>
  <c r="Y115"/>
  <c r="X36" i="9"/>
  <c r="Y36"/>
  <c r="X113"/>
  <c r="Y113"/>
  <c r="C23"/>
  <c r="AA22"/>
  <c r="B27"/>
  <c r="B28" s="1"/>
  <c r="C23" i="6"/>
  <c r="AA22"/>
  <c r="C23" i="7"/>
  <c r="AA22"/>
  <c r="Z113" i="6"/>
  <c r="K113"/>
  <c r="B26"/>
  <c r="B32" i="7"/>
  <c r="Y36"/>
  <c r="X36"/>
  <c r="X112" i="6"/>
  <c r="Y112"/>
  <c r="Y36"/>
  <c r="X36"/>
  <c r="K74" i="2"/>
  <c r="Z74"/>
  <c r="Y38"/>
  <c r="X38"/>
  <c r="B28" i="13" l="1"/>
  <c r="AA27"/>
  <c r="X26"/>
  <c r="Y26"/>
  <c r="C25" i="10"/>
  <c r="AA24"/>
  <c r="B25" i="12"/>
  <c r="AA24"/>
  <c r="AA23" i="11"/>
  <c r="B24"/>
  <c r="Y27" i="12"/>
  <c r="X27"/>
  <c r="Y105" i="11"/>
  <c r="X105"/>
  <c r="Y69"/>
  <c r="X69"/>
  <c r="Y120" i="10"/>
  <c r="X120"/>
  <c r="X41" i="11"/>
  <c r="Y41"/>
  <c r="B29" i="10"/>
  <c r="Y43"/>
  <c r="X43"/>
  <c r="X116" i="7"/>
  <c r="Y116"/>
  <c r="Y37" i="9"/>
  <c r="X37"/>
  <c r="B29"/>
  <c r="X114"/>
  <c r="Y114"/>
  <c r="C24"/>
  <c r="AA23"/>
  <c r="C24" i="6"/>
  <c r="AA23"/>
  <c r="AA23" i="7"/>
  <c r="C24"/>
  <c r="X37"/>
  <c r="Y37"/>
  <c r="K114" i="6"/>
  <c r="Z115" s="1"/>
  <c r="Z114"/>
  <c r="B27"/>
  <c r="B33" i="7"/>
  <c r="X113" i="6"/>
  <c r="Y113"/>
  <c r="X37"/>
  <c r="Y37"/>
  <c r="Z75" i="2"/>
  <c r="K75"/>
  <c r="Y39"/>
  <c r="X39"/>
  <c r="AA28" i="13" l="1"/>
  <c r="B29"/>
  <c r="Y27"/>
  <c r="X27"/>
  <c r="AA24" i="11"/>
  <c r="B25"/>
  <c r="C26" i="10"/>
  <c r="AA25"/>
  <c r="AA25" i="12"/>
  <c r="B26"/>
  <c r="X28"/>
  <c r="Y28"/>
  <c r="X106" i="11"/>
  <c r="Y106"/>
  <c r="X70"/>
  <c r="Y70"/>
  <c r="X121" i="10"/>
  <c r="Y121"/>
  <c r="X42" i="11"/>
  <c r="Y42"/>
  <c r="B30" i="10"/>
  <c r="Y44"/>
  <c r="X44"/>
  <c r="Y117" i="7"/>
  <c r="X117"/>
  <c r="B30" i="9"/>
  <c r="Y38"/>
  <c r="X38"/>
  <c r="Y115"/>
  <c r="X115"/>
  <c r="C25"/>
  <c r="AA24"/>
  <c r="C25" i="6"/>
  <c r="AA24"/>
  <c r="AA24" i="7"/>
  <c r="C25"/>
  <c r="Y38"/>
  <c r="X38"/>
  <c r="B28" i="6"/>
  <c r="B34" i="7"/>
  <c r="Y114" i="6"/>
  <c r="X114"/>
  <c r="X38"/>
  <c r="Y38"/>
  <c r="Z76" i="2"/>
  <c r="K76"/>
  <c r="Z77" s="1"/>
  <c r="X40"/>
  <c r="Y40"/>
  <c r="AA29" i="13" l="1"/>
  <c r="B30"/>
  <c r="Y28"/>
  <c r="X28"/>
  <c r="AA26" i="12"/>
  <c r="B27"/>
  <c r="B26" i="11"/>
  <c r="AA25"/>
  <c r="C27" i="10"/>
  <c r="AA26"/>
  <c r="X29" i="12"/>
  <c r="Y29"/>
  <c r="X107" i="11"/>
  <c r="Y107"/>
  <c r="X71"/>
  <c r="Y71"/>
  <c r="X122" i="10"/>
  <c r="Y122"/>
  <c r="Y43" i="11"/>
  <c r="X43"/>
  <c r="B31" i="10"/>
  <c r="X45"/>
  <c r="Y45"/>
  <c r="Y118" i="7"/>
  <c r="X118"/>
  <c r="B31" i="9"/>
  <c r="Y39"/>
  <c r="X39"/>
  <c r="X116"/>
  <c r="Y116"/>
  <c r="C26"/>
  <c r="AA25"/>
  <c r="C26" i="6"/>
  <c r="AA25"/>
  <c r="AA25" i="7"/>
  <c r="C26"/>
  <c r="Y39"/>
  <c r="X39"/>
  <c r="Y40" s="1"/>
  <c r="B29" i="6"/>
  <c r="B35" i="7"/>
  <c r="X115" i="6"/>
  <c r="Y115"/>
  <c r="X39"/>
  <c r="Y39"/>
  <c r="K77" i="2"/>
  <c r="Z78" s="1"/>
  <c r="X41"/>
  <c r="Y41"/>
  <c r="B31" i="13" l="1"/>
  <c r="AA30"/>
  <c r="X29"/>
  <c r="Y29"/>
  <c r="C28" i="10"/>
  <c r="AA27"/>
  <c r="AA27" i="12"/>
  <c r="B28"/>
  <c r="B27" i="11"/>
  <c r="AA26"/>
  <c r="X30" i="12"/>
  <c r="Y30"/>
  <c r="X108" i="11"/>
  <c r="Y108"/>
  <c r="X72"/>
  <c r="Y72"/>
  <c r="X123" i="10"/>
  <c r="Y123"/>
  <c r="X44" i="11"/>
  <c r="Y44"/>
  <c r="B32" i="10"/>
  <c r="X46"/>
  <c r="Y46"/>
  <c r="X119" i="7"/>
  <c r="Y119"/>
  <c r="B32" i="9"/>
  <c r="Y40"/>
  <c r="X40"/>
  <c r="X117"/>
  <c r="Y117"/>
  <c r="C27"/>
  <c r="C28" s="1"/>
  <c r="AA26"/>
  <c r="C27" i="6"/>
  <c r="AA26"/>
  <c r="AA26" i="7"/>
  <c r="C27"/>
  <c r="X40"/>
  <c r="B30" i="6"/>
  <c r="B36" i="7"/>
  <c r="B37" s="1"/>
  <c r="X116" i="6"/>
  <c r="Y116"/>
  <c r="Y40"/>
  <c r="X40"/>
  <c r="Y42" i="2"/>
  <c r="X42"/>
  <c r="AA31" i="13" l="1"/>
  <c r="B32"/>
  <c r="Y30"/>
  <c r="X30"/>
  <c r="B28" i="11"/>
  <c r="AA27"/>
  <c r="C29" i="10"/>
  <c r="AA28"/>
  <c r="AA28" i="12"/>
  <c r="B29"/>
  <c r="X31"/>
  <c r="Y31"/>
  <c r="X109" i="11"/>
  <c r="Y109"/>
  <c r="X73"/>
  <c r="Y73"/>
  <c r="X124" i="10"/>
  <c r="Y124"/>
  <c r="Y45" i="11"/>
  <c r="X45"/>
  <c r="B33" i="10"/>
  <c r="X47"/>
  <c r="Y47"/>
  <c r="Y120" i="7"/>
  <c r="X120"/>
  <c r="B33" i="9"/>
  <c r="C29"/>
  <c r="AA28"/>
  <c r="X41"/>
  <c r="Y41"/>
  <c r="Y118"/>
  <c r="X118"/>
  <c r="AA27"/>
  <c r="C28" i="6"/>
  <c r="AA27"/>
  <c r="AA27" i="7"/>
  <c r="C28"/>
  <c r="X41"/>
  <c r="Y41"/>
  <c r="B38"/>
  <c r="B31" i="6"/>
  <c r="Y117"/>
  <c r="X117"/>
  <c r="Y41"/>
  <c r="X41"/>
  <c r="Y43" i="2"/>
  <c r="X43"/>
  <c r="B33" i="13" l="1"/>
  <c r="AA32"/>
  <c r="Y31"/>
  <c r="X31"/>
  <c r="AA28" i="11"/>
  <c r="B29"/>
  <c r="B30" i="12"/>
  <c r="AA29"/>
  <c r="C30" i="10"/>
  <c r="AA29"/>
  <c r="Y32" i="12"/>
  <c r="X32"/>
  <c r="Y110" i="11"/>
  <c r="X110"/>
  <c r="Y74"/>
  <c r="X74"/>
  <c r="Y125" i="10"/>
  <c r="X125"/>
  <c r="B34"/>
  <c r="Y48"/>
  <c r="X48"/>
  <c r="Y121" i="7"/>
  <c r="X121"/>
  <c r="X42" i="9"/>
  <c r="Y42"/>
  <c r="B34"/>
  <c r="C30"/>
  <c r="AA29"/>
  <c r="X119"/>
  <c r="Y119"/>
  <c r="C29" i="6"/>
  <c r="AA28"/>
  <c r="C29" i="7"/>
  <c r="AA28"/>
  <c r="B39"/>
  <c r="X42"/>
  <c r="Y42"/>
  <c r="B32" i="6"/>
  <c r="Y118"/>
  <c r="X118"/>
  <c r="X42"/>
  <c r="Y42"/>
  <c r="X44" i="2"/>
  <c r="Y44"/>
  <c r="AA33" i="13" l="1"/>
  <c r="B34"/>
  <c r="Y32"/>
  <c r="X32"/>
  <c r="C31" i="10"/>
  <c r="AA30"/>
  <c r="AA29" i="11"/>
  <c r="B30"/>
  <c r="B31" i="12"/>
  <c r="AA30"/>
  <c r="Y33"/>
  <c r="X33"/>
  <c r="X111" i="11"/>
  <c r="Y111"/>
  <c r="X75"/>
  <c r="Y75"/>
  <c r="Y126" i="10"/>
  <c r="X126"/>
  <c r="B35"/>
  <c r="X49"/>
  <c r="Y49"/>
  <c r="X122" i="7"/>
  <c r="Y122"/>
  <c r="C31" i="9"/>
  <c r="AA30"/>
  <c r="X43"/>
  <c r="Y43"/>
  <c r="B35"/>
  <c r="X120"/>
  <c r="Y120"/>
  <c r="C30" i="6"/>
  <c r="AA29"/>
  <c r="C30" i="7"/>
  <c r="AA29"/>
  <c r="Y43"/>
  <c r="X43"/>
  <c r="B40"/>
  <c r="B33" i="6"/>
  <c r="X119"/>
  <c r="Y119"/>
  <c r="X43"/>
  <c r="Y43"/>
  <c r="X45" i="2"/>
  <c r="Y45"/>
  <c r="B35" i="13" l="1"/>
  <c r="AA34"/>
  <c r="Y33"/>
  <c r="X33"/>
  <c r="B32" i="12"/>
  <c r="AA31"/>
  <c r="C32" i="10"/>
  <c r="AA31"/>
  <c r="B31" i="11"/>
  <c r="AA30"/>
  <c r="Y34" i="12"/>
  <c r="X34"/>
  <c r="Y112" i="11"/>
  <c r="X112"/>
  <c r="Y76"/>
  <c r="X76"/>
  <c r="Y127" i="10"/>
  <c r="X127"/>
  <c r="B36"/>
  <c r="Y50"/>
  <c r="X50"/>
  <c r="X123" i="7"/>
  <c r="Y123"/>
  <c r="B36" i="9"/>
  <c r="C32"/>
  <c r="AA31"/>
  <c r="Y44"/>
  <c r="X44"/>
  <c r="X121"/>
  <c r="Y121"/>
  <c r="C31" i="6"/>
  <c r="AA30"/>
  <c r="AA30" i="7"/>
  <c r="C31"/>
  <c r="Y44"/>
  <c r="X44"/>
  <c r="B41"/>
  <c r="B34" i="6"/>
  <c r="X120"/>
  <c r="Y120"/>
  <c r="X44"/>
  <c r="Y44"/>
  <c r="Y46" i="2"/>
  <c r="X46"/>
  <c r="AA35" i="13" l="1"/>
  <c r="B36"/>
  <c r="X34"/>
  <c r="Y34"/>
  <c r="AA31" i="11"/>
  <c r="B32"/>
  <c r="AA32" i="12"/>
  <c r="B33"/>
  <c r="C33" i="10"/>
  <c r="AA32"/>
  <c r="X35" i="12"/>
  <c r="Y35"/>
  <c r="Y113" i="11"/>
  <c r="X113"/>
  <c r="X77"/>
  <c r="Y77"/>
  <c r="Y128" i="10"/>
  <c r="X128"/>
  <c r="B37"/>
  <c r="X51"/>
  <c r="Y51"/>
  <c r="Y124" i="7"/>
  <c r="X124"/>
  <c r="B37" i="9"/>
  <c r="C33"/>
  <c r="AA32"/>
  <c r="X45"/>
  <c r="Y45"/>
  <c r="Y122"/>
  <c r="X122"/>
  <c r="C32" i="6"/>
  <c r="AA31"/>
  <c r="C32" i="7"/>
  <c r="AA31"/>
  <c r="Y45"/>
  <c r="X45"/>
  <c r="B42"/>
  <c r="B35" i="6"/>
  <c r="Y121"/>
  <c r="X121"/>
  <c r="X45"/>
  <c r="Y45"/>
  <c r="Y47" i="2"/>
  <c r="X47"/>
  <c r="B37" i="13" l="1"/>
  <c r="AA36"/>
  <c r="Y35"/>
  <c r="X35"/>
  <c r="C34" i="10"/>
  <c r="AA33"/>
  <c r="B33" i="11"/>
  <c r="AA32"/>
  <c r="AA33" i="12"/>
  <c r="B34"/>
  <c r="Y36"/>
  <c r="X36"/>
  <c r="X114" i="11"/>
  <c r="Y114"/>
  <c r="X78"/>
  <c r="Y78"/>
  <c r="X129" i="10"/>
  <c r="Y129"/>
  <c r="B38"/>
  <c r="Y52"/>
  <c r="X52"/>
  <c r="Y125" i="7"/>
  <c r="X125"/>
  <c r="Y46" i="9"/>
  <c r="X46"/>
  <c r="B38"/>
  <c r="C34"/>
  <c r="AA33"/>
  <c r="X123"/>
  <c r="Y123"/>
  <c r="C33" i="6"/>
  <c r="AA32"/>
  <c r="C33" i="7"/>
  <c r="AA32"/>
  <c r="X46"/>
  <c r="Y46"/>
  <c r="B43"/>
  <c r="B36" i="6"/>
  <c r="Y122"/>
  <c r="X122"/>
  <c r="Y46"/>
  <c r="X46"/>
  <c r="X48" i="2"/>
  <c r="Y48"/>
  <c r="B38" i="13" l="1"/>
  <c r="AA37"/>
  <c r="X36"/>
  <c r="Y36"/>
  <c r="C35" i="10"/>
  <c r="AA34"/>
  <c r="B35" i="12"/>
  <c r="AA34"/>
  <c r="B34" i="11"/>
  <c r="AA33"/>
  <c r="Y37" i="12"/>
  <c r="X37"/>
  <c r="Y115" i="11"/>
  <c r="X115"/>
  <c r="X79"/>
  <c r="Y79"/>
  <c r="Y130" i="10"/>
  <c r="X130"/>
  <c r="B39"/>
  <c r="X53"/>
  <c r="Y53"/>
  <c r="Y126" i="7"/>
  <c r="X126"/>
  <c r="C35" i="9"/>
  <c r="AA34"/>
  <c r="Y47"/>
  <c r="X47"/>
  <c r="B39"/>
  <c r="X124"/>
  <c r="Y124"/>
  <c r="Y47" i="7"/>
  <c r="X47"/>
  <c r="C34" i="6"/>
  <c r="AA33"/>
  <c r="C34" i="7"/>
  <c r="AA33"/>
  <c r="B44"/>
  <c r="B37" i="6"/>
  <c r="X47"/>
  <c r="Y47"/>
  <c r="X49" i="2"/>
  <c r="Y49"/>
  <c r="B39" i="13" l="1"/>
  <c r="AA38"/>
  <c r="Y37"/>
  <c r="X37"/>
  <c r="B35" i="11"/>
  <c r="AA34"/>
  <c r="C36" i="10"/>
  <c r="AA35"/>
  <c r="B36" i="12"/>
  <c r="AA35"/>
  <c r="Y38"/>
  <c r="X38"/>
  <c r="X116" i="11"/>
  <c r="Y116"/>
  <c r="X80"/>
  <c r="Y80"/>
  <c r="X131" i="10"/>
  <c r="Y131"/>
  <c r="B40"/>
  <c r="Y54"/>
  <c r="X54"/>
  <c r="X127" i="7"/>
  <c r="Y127"/>
  <c r="B40" i="9"/>
  <c r="C36"/>
  <c r="AA35"/>
  <c r="Y48"/>
  <c r="X48"/>
  <c r="Y125"/>
  <c r="X125"/>
  <c r="Y48" i="7"/>
  <c r="X48"/>
  <c r="C35" i="6"/>
  <c r="AA34"/>
  <c r="C35" i="7"/>
  <c r="AA34"/>
  <c r="B45"/>
  <c r="B38" i="6"/>
  <c r="Y48"/>
  <c r="X48"/>
  <c r="Y50" i="2"/>
  <c r="X50"/>
  <c r="AA39" i="13" l="1"/>
  <c r="B40"/>
  <c r="X38"/>
  <c r="Y38"/>
  <c r="B37" i="12"/>
  <c r="AA36"/>
  <c r="B36" i="11"/>
  <c r="AA35"/>
  <c r="C37" i="10"/>
  <c r="AA36"/>
  <c r="Y39" i="12"/>
  <c r="X39"/>
  <c r="X117" i="11"/>
  <c r="Y117"/>
  <c r="X81"/>
  <c r="Y81"/>
  <c r="Y132" i="10"/>
  <c r="X132"/>
  <c r="B41"/>
  <c r="Y55"/>
  <c r="X55"/>
  <c r="Y128" i="7"/>
  <c r="X128"/>
  <c r="B41" i="9"/>
  <c r="C37"/>
  <c r="AA36"/>
  <c r="X49"/>
  <c r="Y49"/>
  <c r="X126"/>
  <c r="Y126"/>
  <c r="Y49" i="7"/>
  <c r="X49"/>
  <c r="C36" i="6"/>
  <c r="AA35"/>
  <c r="C36" i="7"/>
  <c r="AA35"/>
  <c r="B46"/>
  <c r="B47" s="1"/>
  <c r="B39" i="6"/>
  <c r="X49"/>
  <c r="Y49"/>
  <c r="Y51" i="2"/>
  <c r="X51"/>
  <c r="B41" i="13" l="1"/>
  <c r="AA40"/>
  <c r="X39"/>
  <c r="Y39"/>
  <c r="C38" i="10"/>
  <c r="AA37"/>
  <c r="AA37" i="12"/>
  <c r="B38"/>
  <c r="AA36" i="11"/>
  <c r="B37"/>
  <c r="Y40" i="12"/>
  <c r="X40"/>
  <c r="Y118" i="11"/>
  <c r="X118"/>
  <c r="X133" i="10"/>
  <c r="Y133"/>
  <c r="B42"/>
  <c r="X56"/>
  <c r="Y56"/>
  <c r="X129" i="7"/>
  <c r="Y129"/>
  <c r="X50" i="9"/>
  <c r="Y50"/>
  <c r="C38"/>
  <c r="AA37"/>
  <c r="B42"/>
  <c r="Y127"/>
  <c r="X127"/>
  <c r="X50" i="7"/>
  <c r="Y50"/>
  <c r="B48"/>
  <c r="C37" i="6"/>
  <c r="AA36"/>
  <c r="C37" i="7"/>
  <c r="AA36"/>
  <c r="B40" i="6"/>
  <c r="X50"/>
  <c r="Y50"/>
  <c r="X52" i="2"/>
  <c r="Y52"/>
  <c r="B42" i="13" l="1"/>
  <c r="AA41"/>
  <c r="X40"/>
  <c r="Y40"/>
  <c r="AA37" i="11"/>
  <c r="B38"/>
  <c r="C39" i="10"/>
  <c r="AA38"/>
  <c r="AA38" i="12"/>
  <c r="B39"/>
  <c r="Y41"/>
  <c r="X41"/>
  <c r="Y119" i="11"/>
  <c r="X119"/>
  <c r="Y134" i="10"/>
  <c r="X134"/>
  <c r="B43"/>
  <c r="Y57"/>
  <c r="X57"/>
  <c r="X130" i="7"/>
  <c r="Y130"/>
  <c r="Y51" i="9"/>
  <c r="X51"/>
  <c r="C39"/>
  <c r="AA38"/>
  <c r="B43"/>
  <c r="X128"/>
  <c r="Y128"/>
  <c r="Y51" i="7"/>
  <c r="X51"/>
  <c r="B49"/>
  <c r="AA37"/>
  <c r="C38"/>
  <c r="C38" i="6"/>
  <c r="AA37"/>
  <c r="B41"/>
  <c r="Y51"/>
  <c r="X51"/>
  <c r="X53" i="2"/>
  <c r="Y53"/>
  <c r="B43" i="13" l="1"/>
  <c r="AA42"/>
  <c r="X41"/>
  <c r="Y41"/>
  <c r="AA39" i="12"/>
  <c r="B40"/>
  <c r="B39" i="11"/>
  <c r="AA38"/>
  <c r="C40" i="10"/>
  <c r="AA39"/>
  <c r="X42" i="12"/>
  <c r="Y42"/>
  <c r="Y120" i="11"/>
  <c r="X120"/>
  <c r="X135" i="10"/>
  <c r="Y135"/>
  <c r="B44"/>
  <c r="X58"/>
  <c r="Y58"/>
  <c r="Y131" i="7"/>
  <c r="X131"/>
  <c r="X52" i="9"/>
  <c r="Y52"/>
  <c r="C40"/>
  <c r="AA39"/>
  <c r="B44"/>
  <c r="Y129"/>
  <c r="X129"/>
  <c r="Y52" i="7"/>
  <c r="X52"/>
  <c r="B50"/>
  <c r="C39"/>
  <c r="AA38"/>
  <c r="C39" i="6"/>
  <c r="AA38"/>
  <c r="B42"/>
  <c r="X52"/>
  <c r="Y52"/>
  <c r="Y54" i="2"/>
  <c r="X54"/>
  <c r="B44" i="13" l="1"/>
  <c r="AA43"/>
  <c r="X42"/>
  <c r="Y42"/>
  <c r="C41" i="10"/>
  <c r="AA40"/>
  <c r="AA39" i="11"/>
  <c r="B40"/>
  <c r="B41" i="12"/>
  <c r="AA40"/>
  <c r="Y43"/>
  <c r="X43"/>
  <c r="Y121" i="11"/>
  <c r="X121"/>
  <c r="X136" i="10"/>
  <c r="Y136"/>
  <c r="B45"/>
  <c r="Y59"/>
  <c r="X59"/>
  <c r="Y132" i="7"/>
  <c r="X132"/>
  <c r="B45" i="9"/>
  <c r="Y53"/>
  <c r="X53"/>
  <c r="C41"/>
  <c r="AA40"/>
  <c r="X130"/>
  <c r="Y130"/>
  <c r="Y53" i="7"/>
  <c r="X53"/>
  <c r="B51"/>
  <c r="C40"/>
  <c r="AA39"/>
  <c r="C40" i="6"/>
  <c r="AA39"/>
  <c r="B43"/>
  <c r="Y53"/>
  <c r="X53"/>
  <c r="Y55" i="2"/>
  <c r="X55"/>
  <c r="B45" i="13" l="1"/>
  <c r="AA44"/>
  <c r="Y43"/>
  <c r="X43"/>
  <c r="AA41" i="12"/>
  <c r="B42"/>
  <c r="C42" i="10"/>
  <c r="AA41"/>
  <c r="B41" i="11"/>
  <c r="AA40"/>
  <c r="X44" i="12"/>
  <c r="Y44"/>
  <c r="Y122" i="11"/>
  <c r="X122"/>
  <c r="Y137" i="10"/>
  <c r="X137"/>
  <c r="B46"/>
  <c r="Y60"/>
  <c r="X60"/>
  <c r="X133" i="7"/>
  <c r="Y133"/>
  <c r="B46" i="9"/>
  <c r="C42"/>
  <c r="AA41"/>
  <c r="X54"/>
  <c r="Y54"/>
  <c r="X131"/>
  <c r="Y131"/>
  <c r="Y54" i="7"/>
  <c r="X54"/>
  <c r="B52"/>
  <c r="C41"/>
  <c r="AA40"/>
  <c r="C41" i="6"/>
  <c r="AA40"/>
  <c r="B44"/>
  <c r="Y54"/>
  <c r="X54"/>
  <c r="X56" i="2"/>
  <c r="Y56"/>
  <c r="B46" i="13" l="1"/>
  <c r="AA45"/>
  <c r="X44"/>
  <c r="Y44"/>
  <c r="AA41" i="11"/>
  <c r="B42"/>
  <c r="AA42" i="12"/>
  <c r="B43"/>
  <c r="C43" i="10"/>
  <c r="AA42"/>
  <c r="Y45" i="12"/>
  <c r="X45"/>
  <c r="X123" i="11"/>
  <c r="Y123"/>
  <c r="X138" i="10"/>
  <c r="Y138"/>
  <c r="B47"/>
  <c r="X61"/>
  <c r="Y61"/>
  <c r="X134" i="7"/>
  <c r="Y134"/>
  <c r="Y55" i="9"/>
  <c r="X55"/>
  <c r="B47"/>
  <c r="C43"/>
  <c r="AA42"/>
  <c r="X132"/>
  <c r="Y132"/>
  <c r="X55" i="7"/>
  <c r="Y55"/>
  <c r="B53"/>
  <c r="AA41"/>
  <c r="C42"/>
  <c r="C42" i="6"/>
  <c r="AA41"/>
  <c r="B45"/>
  <c r="X55"/>
  <c r="Y55"/>
  <c r="X57" i="2"/>
  <c r="Y57"/>
  <c r="B47" i="13" l="1"/>
  <c r="AA46"/>
  <c r="Y45"/>
  <c r="X45"/>
  <c r="AA42" i="11"/>
  <c r="B43"/>
  <c r="C44" i="10"/>
  <c r="AA43"/>
  <c r="AA43" i="12"/>
  <c r="B44"/>
  <c r="Y46"/>
  <c r="X46"/>
  <c r="X124" i="11"/>
  <c r="Y124"/>
  <c r="Y139" i="10"/>
  <c r="X139"/>
  <c r="B48"/>
  <c r="Y62"/>
  <c r="X62"/>
  <c r="Y135" i="7"/>
  <c r="X135"/>
  <c r="C44" i="9"/>
  <c r="AA43"/>
  <c r="Y56"/>
  <c r="X56"/>
  <c r="B48"/>
  <c r="X133"/>
  <c r="Y133"/>
  <c r="X56" i="7"/>
  <c r="Y56"/>
  <c r="B54"/>
  <c r="C43"/>
  <c r="AA42"/>
  <c r="C43" i="6"/>
  <c r="AA42"/>
  <c r="B46"/>
  <c r="X56"/>
  <c r="Y56"/>
  <c r="Y58" i="2"/>
  <c r="X58"/>
  <c r="B48" i="13" l="1"/>
  <c r="AA47"/>
  <c r="X46"/>
  <c r="Y46"/>
  <c r="AA44" i="12"/>
  <c r="B45"/>
  <c r="B44" i="11"/>
  <c r="AA43"/>
  <c r="C45" i="10"/>
  <c r="AA44"/>
  <c r="Y47" i="12"/>
  <c r="X47"/>
  <c r="Y125" i="11"/>
  <c r="X125"/>
  <c r="X140" i="10"/>
  <c r="Y140"/>
  <c r="B49"/>
  <c r="Y63"/>
  <c r="X63"/>
  <c r="Y136" i="7"/>
  <c r="X136"/>
  <c r="C45" i="9"/>
  <c r="AA44"/>
  <c r="B49"/>
  <c r="Y57"/>
  <c r="X57"/>
  <c r="Y134"/>
  <c r="X134"/>
  <c r="Y57" i="7"/>
  <c r="X57"/>
  <c r="B55"/>
  <c r="C44"/>
  <c r="AA43"/>
  <c r="C44" i="6"/>
  <c r="AA43"/>
  <c r="B47"/>
  <c r="X57"/>
  <c r="Y57"/>
  <c r="Y59" i="2"/>
  <c r="X59"/>
  <c r="B49" i="13" l="1"/>
  <c r="AA48"/>
  <c r="Y47"/>
  <c r="X47"/>
  <c r="C46" i="10"/>
  <c r="AA45"/>
  <c r="AA45" i="12"/>
  <c r="B46"/>
  <c r="B45" i="11"/>
  <c r="AA44"/>
  <c r="Y48" i="12"/>
  <c r="X48"/>
  <c r="Y126" i="11"/>
  <c r="X126"/>
  <c r="X141" i="10"/>
  <c r="Y141"/>
  <c r="B50"/>
  <c r="X64"/>
  <c r="Y64"/>
  <c r="X137" i="7"/>
  <c r="Y137"/>
  <c r="Y58" i="9"/>
  <c r="X58"/>
  <c r="C46"/>
  <c r="AA45"/>
  <c r="B50"/>
  <c r="X135"/>
  <c r="Y135"/>
  <c r="Y58" i="7"/>
  <c r="X58"/>
  <c r="B56"/>
  <c r="C45"/>
  <c r="AA44"/>
  <c r="C45" i="6"/>
  <c r="AA44"/>
  <c r="B48"/>
  <c r="X58"/>
  <c r="Y58"/>
  <c r="X60" i="2"/>
  <c r="Y60"/>
  <c r="B50" i="13" l="1"/>
  <c r="AA49"/>
  <c r="Y48"/>
  <c r="X48"/>
  <c r="AA45" i="11"/>
  <c r="B46"/>
  <c r="C47" i="10"/>
  <c r="AA46"/>
  <c r="B47" i="12"/>
  <c r="AA46"/>
  <c r="X49"/>
  <c r="Y49"/>
  <c r="Y127" i="11"/>
  <c r="X127"/>
  <c r="Y142" i="10"/>
  <c r="X142"/>
  <c r="B51"/>
  <c r="Y65"/>
  <c r="X65"/>
  <c r="Y138" i="7"/>
  <c r="X138"/>
  <c r="B51" i="9"/>
  <c r="X59"/>
  <c r="Y59"/>
  <c r="C47"/>
  <c r="AA46"/>
  <c r="X136"/>
  <c r="Y136"/>
  <c r="Y59" i="7"/>
  <c r="X59"/>
  <c r="B57"/>
  <c r="AA45"/>
  <c r="C46"/>
  <c r="C47" s="1"/>
  <c r="C46" i="6"/>
  <c r="AA45"/>
  <c r="B49"/>
  <c r="Y59"/>
  <c r="X59"/>
  <c r="Y61" i="2"/>
  <c r="X61"/>
  <c r="B51" i="13" l="1"/>
  <c r="AA50"/>
  <c r="X49"/>
  <c r="Y49"/>
  <c r="AA47" i="12"/>
  <c r="B48"/>
  <c r="AA46" i="11"/>
  <c r="B47"/>
  <c r="C48" i="10"/>
  <c r="AA47"/>
  <c r="Y50" i="12"/>
  <c r="X50"/>
  <c r="X128" i="11"/>
  <c r="Y128"/>
  <c r="X143" i="10"/>
  <c r="Y143"/>
  <c r="B52"/>
  <c r="X66"/>
  <c r="Y66"/>
  <c r="Y139" i="7"/>
  <c r="X139"/>
  <c r="C48" i="9"/>
  <c r="AA47"/>
  <c r="B52"/>
  <c r="X60"/>
  <c r="Y60"/>
  <c r="X137"/>
  <c r="Y137"/>
  <c r="X60" i="7"/>
  <c r="Y60"/>
  <c r="C48"/>
  <c r="AA47"/>
  <c r="B58"/>
  <c r="AA46"/>
  <c r="C47" i="6"/>
  <c r="AA46"/>
  <c r="B50"/>
  <c r="Y60"/>
  <c r="X60"/>
  <c r="Y62" i="2"/>
  <c r="X62"/>
  <c r="B52" i="13" l="1"/>
  <c r="AA51"/>
  <c r="Y50"/>
  <c r="X50"/>
  <c r="AA48" i="12"/>
  <c r="B49"/>
  <c r="C49" i="10"/>
  <c r="AA48"/>
  <c r="AA47" i="11"/>
  <c r="B48"/>
  <c r="Y51" i="12"/>
  <c r="X51"/>
  <c r="X129" i="11"/>
  <c r="Y129"/>
  <c r="X144" i="10"/>
  <c r="Y144"/>
  <c r="B53"/>
  <c r="X67"/>
  <c r="Y67"/>
  <c r="Y140" i="7"/>
  <c r="X140"/>
  <c r="X61" i="9"/>
  <c r="Y61"/>
  <c r="C49"/>
  <c r="AA48"/>
  <c r="B53"/>
  <c r="Y138"/>
  <c r="X138"/>
  <c r="X61" i="7"/>
  <c r="Y61"/>
  <c r="B59"/>
  <c r="C49"/>
  <c r="AA48"/>
  <c r="C48" i="6"/>
  <c r="AA47"/>
  <c r="B51"/>
  <c r="Y61"/>
  <c r="X61"/>
  <c r="Z99" i="2"/>
  <c r="K99"/>
  <c r="Y63"/>
  <c r="X63"/>
  <c r="B53" i="13" l="1"/>
  <c r="AA52"/>
  <c r="X51"/>
  <c r="Y51"/>
  <c r="AA48" i="11"/>
  <c r="B49"/>
  <c r="AA49" i="12"/>
  <c r="B50"/>
  <c r="C50" i="10"/>
  <c r="AA49"/>
  <c r="X52" i="12"/>
  <c r="Y52"/>
  <c r="Y130" i="11"/>
  <c r="X130"/>
  <c r="Y145" i="10"/>
  <c r="X145"/>
  <c r="B54"/>
  <c r="Y68"/>
  <c r="X68"/>
  <c r="Y141" i="7"/>
  <c r="X141"/>
  <c r="X62" i="9"/>
  <c r="Y62"/>
  <c r="B54"/>
  <c r="C50"/>
  <c r="AA49"/>
  <c r="X139"/>
  <c r="Y139"/>
  <c r="X62" i="7"/>
  <c r="Y62"/>
  <c r="C50"/>
  <c r="AA49"/>
  <c r="B60"/>
  <c r="C49" i="6"/>
  <c r="AA48"/>
  <c r="B52"/>
  <c r="Y62"/>
  <c r="X62"/>
  <c r="Z100" i="2"/>
  <c r="K100"/>
  <c r="X64"/>
  <c r="Y64"/>
  <c r="B54" i="13" l="1"/>
  <c r="AA53"/>
  <c r="Y52"/>
  <c r="X52"/>
  <c r="C51" i="10"/>
  <c r="AA50"/>
  <c r="B50" i="11"/>
  <c r="AA49"/>
  <c r="AA50" i="12"/>
  <c r="B51"/>
  <c r="Y53"/>
  <c r="X53"/>
  <c r="Y131" i="11"/>
  <c r="X131"/>
  <c r="X146" i="10"/>
  <c r="Y146"/>
  <c r="B55"/>
  <c r="X69"/>
  <c r="Y69"/>
  <c r="Y142" i="7"/>
  <c r="X142"/>
  <c r="C51" i="9"/>
  <c r="AA50"/>
  <c r="X63"/>
  <c r="Y63"/>
  <c r="B55"/>
  <c r="X140"/>
  <c r="Y140"/>
  <c r="Y63" i="7"/>
  <c r="X63"/>
  <c r="B61"/>
  <c r="C51"/>
  <c r="AA50"/>
  <c r="C50" i="6"/>
  <c r="AA49"/>
  <c r="B53"/>
  <c r="Y63"/>
  <c r="X63"/>
  <c r="K101" i="2"/>
  <c r="Z101"/>
  <c r="X65"/>
  <c r="Y65"/>
  <c r="B55" i="13" l="1"/>
  <c r="AA54"/>
  <c r="X53"/>
  <c r="Y53"/>
  <c r="C52" i="10"/>
  <c r="AA51"/>
  <c r="AA51" i="12"/>
  <c r="B52"/>
  <c r="AA50" i="11"/>
  <c r="B51"/>
  <c r="Y54" i="12"/>
  <c r="X54"/>
  <c r="Y132" i="11"/>
  <c r="X132"/>
  <c r="Y147" i="10"/>
  <c r="X147"/>
  <c r="B56"/>
  <c r="Y70"/>
  <c r="X70"/>
  <c r="Y143" i="7"/>
  <c r="X143"/>
  <c r="B56" i="9"/>
  <c r="C52"/>
  <c r="AA51"/>
  <c r="Y64"/>
  <c r="X64"/>
  <c r="X141"/>
  <c r="Y141"/>
  <c r="Y64" i="7"/>
  <c r="X64"/>
  <c r="C52"/>
  <c r="AA51"/>
  <c r="B62"/>
  <c r="C51" i="6"/>
  <c r="AA50"/>
  <c r="B54"/>
  <c r="Y64"/>
  <c r="X64"/>
  <c r="Z102" i="2"/>
  <c r="K102"/>
  <c r="Y66"/>
  <c r="X66"/>
  <c r="B56" i="13" l="1"/>
  <c r="AA55"/>
  <c r="X54"/>
  <c r="Y54"/>
  <c r="C53" i="10"/>
  <c r="AA52"/>
  <c r="B52" i="11"/>
  <c r="AA51"/>
  <c r="AA52" i="12"/>
  <c r="B53"/>
  <c r="X55"/>
  <c r="Y55"/>
  <c r="X133" i="11"/>
  <c r="Y133"/>
  <c r="X148" i="10"/>
  <c r="Y148"/>
  <c r="B57"/>
  <c r="Y71"/>
  <c r="X71"/>
  <c r="Y144" i="7"/>
  <c r="X144"/>
  <c r="B57" i="9"/>
  <c r="C53"/>
  <c r="AA52"/>
  <c r="X65"/>
  <c r="Y65"/>
  <c r="X142"/>
  <c r="Y142"/>
  <c r="B63" i="7"/>
  <c r="X65"/>
  <c r="Y65"/>
  <c r="C53"/>
  <c r="AA52"/>
  <c r="C52" i="6"/>
  <c r="AA51"/>
  <c r="B55"/>
  <c r="X65"/>
  <c r="Y65"/>
  <c r="Z103" i="2"/>
  <c r="K103"/>
  <c r="Y67"/>
  <c r="X67"/>
  <c r="B57" i="13" l="1"/>
  <c r="AA56"/>
  <c r="X55"/>
  <c r="Y55"/>
  <c r="C54" i="10"/>
  <c r="AA53"/>
  <c r="B54" i="12"/>
  <c r="AA53"/>
  <c r="B53" i="11"/>
  <c r="AA52"/>
  <c r="Y56" i="12"/>
  <c r="X56"/>
  <c r="X134" i="11"/>
  <c r="Y134"/>
  <c r="X149" i="10"/>
  <c r="Y149"/>
  <c r="B58"/>
  <c r="Y72"/>
  <c r="X72"/>
  <c r="X145" i="7"/>
  <c r="Y145"/>
  <c r="X66" i="9"/>
  <c r="Y66"/>
  <c r="B58"/>
  <c r="C54"/>
  <c r="AA53"/>
  <c r="Y143"/>
  <c r="X143"/>
  <c r="C54" i="7"/>
  <c r="AA53"/>
  <c r="B64"/>
  <c r="Y66"/>
  <c r="X66"/>
  <c r="C53" i="6"/>
  <c r="AA52"/>
  <c r="B56"/>
  <c r="X66"/>
  <c r="Y66"/>
  <c r="Z104" i="2"/>
  <c r="K104"/>
  <c r="X68"/>
  <c r="Y68"/>
  <c r="B58" i="13" l="1"/>
  <c r="AA57"/>
  <c r="Y56"/>
  <c r="X56"/>
  <c r="B54" i="11"/>
  <c r="AA53"/>
  <c r="C55" i="10"/>
  <c r="AA54"/>
  <c r="AA54" i="12"/>
  <c r="B55"/>
  <c r="Y57"/>
  <c r="X57"/>
  <c r="Y135" i="11"/>
  <c r="X135"/>
  <c r="Y150" i="10"/>
  <c r="X150"/>
  <c r="B59"/>
  <c r="Y73"/>
  <c r="X73"/>
  <c r="X146" i="7"/>
  <c r="Y146"/>
  <c r="X67" i="9"/>
  <c r="Y67"/>
  <c r="C55"/>
  <c r="AA54"/>
  <c r="B59"/>
  <c r="Y144"/>
  <c r="X144"/>
  <c r="C55" i="7"/>
  <c r="AA54"/>
  <c r="X67"/>
  <c r="Y67"/>
  <c r="B65"/>
  <c r="C54" i="6"/>
  <c r="AA53"/>
  <c r="B57"/>
  <c r="X67"/>
  <c r="Y67"/>
  <c r="K105" i="2"/>
  <c r="Z105"/>
  <c r="X69"/>
  <c r="Y69"/>
  <c r="B59" i="13" l="1"/>
  <c r="AA58"/>
  <c r="Y57"/>
  <c r="X57"/>
  <c r="B55" i="11"/>
  <c r="AA54"/>
  <c r="AA55" i="12"/>
  <c r="B56"/>
  <c r="C56" i="10"/>
  <c r="AA55"/>
  <c r="X58" i="12"/>
  <c r="Y58"/>
  <c r="X136" i="11"/>
  <c r="Y136"/>
  <c r="X151" i="10"/>
  <c r="Y151"/>
  <c r="B60"/>
  <c r="X74"/>
  <c r="Y74"/>
  <c r="X147" i="7"/>
  <c r="Y147"/>
  <c r="X68" i="9"/>
  <c r="Y68"/>
  <c r="C56"/>
  <c r="AA55"/>
  <c r="B60"/>
  <c r="Y145"/>
  <c r="X145"/>
  <c r="B66" i="7"/>
  <c r="C56"/>
  <c r="AA55"/>
  <c r="Y68"/>
  <c r="X68"/>
  <c r="C55" i="6"/>
  <c r="AA54"/>
  <c r="B58"/>
  <c r="X68"/>
  <c r="Y68"/>
  <c r="Z106" i="2"/>
  <c r="K106"/>
  <c r="Y70"/>
  <c r="X70"/>
  <c r="B60" i="13" l="1"/>
  <c r="AA59"/>
  <c r="X58"/>
  <c r="Y58"/>
  <c r="C57" i="10"/>
  <c r="AA56"/>
  <c r="B56" i="11"/>
  <c r="AA55"/>
  <c r="AA56" i="12"/>
  <c r="B57"/>
  <c r="Y59"/>
  <c r="X59"/>
  <c r="Y137" i="11"/>
  <c r="X137"/>
  <c r="X152" i="10"/>
  <c r="Y152"/>
  <c r="B61"/>
  <c r="X75"/>
  <c r="Y75"/>
  <c r="Y148" i="7"/>
  <c r="X148"/>
  <c r="B61" i="9"/>
  <c r="C57"/>
  <c r="AA56"/>
  <c r="Y69"/>
  <c r="X69"/>
  <c r="X146"/>
  <c r="Y146"/>
  <c r="Y69" i="7"/>
  <c r="X69"/>
  <c r="B67"/>
  <c r="C57"/>
  <c r="AA56"/>
  <c r="C56" i="6"/>
  <c r="AA55"/>
  <c r="B59"/>
  <c r="Y69"/>
  <c r="X69"/>
  <c r="Z107" i="2"/>
  <c r="K107"/>
  <c r="Y71"/>
  <c r="X71"/>
  <c r="B61" i="13" l="1"/>
  <c r="AA60"/>
  <c r="X59"/>
  <c r="Y59"/>
  <c r="C58" i="10"/>
  <c r="AA57"/>
  <c r="AA57" i="12"/>
  <c r="B58"/>
  <c r="B57" i="11"/>
  <c r="AA56"/>
  <c r="Y60" i="12"/>
  <c r="X60"/>
  <c r="X138" i="11"/>
  <c r="Y138"/>
  <c r="X153" i="10"/>
  <c r="Y153"/>
  <c r="B62"/>
  <c r="Y76"/>
  <c r="X76"/>
  <c r="X149" i="7"/>
  <c r="Y149"/>
  <c r="B62" i="9"/>
  <c r="X70"/>
  <c r="Y70"/>
  <c r="C58"/>
  <c r="AA57"/>
  <c r="X147"/>
  <c r="Y147"/>
  <c r="X70" i="7"/>
  <c r="Y70"/>
  <c r="B68"/>
  <c r="C58"/>
  <c r="AA57"/>
  <c r="C57" i="6"/>
  <c r="AA56"/>
  <c r="B60"/>
  <c r="Y70"/>
  <c r="X70"/>
  <c r="Z108" i="2"/>
  <c r="K108"/>
  <c r="X72"/>
  <c r="Y72"/>
  <c r="B62" i="13" l="1"/>
  <c r="AA61"/>
  <c r="Y60"/>
  <c r="X60"/>
  <c r="AA57" i="11"/>
  <c r="B58"/>
  <c r="C59" i="10"/>
  <c r="AA58"/>
  <c r="AA58" i="12"/>
  <c r="B59"/>
  <c r="X61"/>
  <c r="Y61"/>
  <c r="X139" i="11"/>
  <c r="Y139"/>
  <c r="X154" i="10"/>
  <c r="Y154"/>
  <c r="B63"/>
  <c r="Y77"/>
  <c r="X77"/>
  <c r="Y150" i="7"/>
  <c r="X150"/>
  <c r="C59" i="9"/>
  <c r="AA58"/>
  <c r="B63"/>
  <c r="X71"/>
  <c r="Y71"/>
  <c r="X148"/>
  <c r="Y148"/>
  <c r="X71" i="7"/>
  <c r="Y71"/>
  <c r="C59"/>
  <c r="AA58"/>
  <c r="B69"/>
  <c r="C58" i="6"/>
  <c r="AA57"/>
  <c r="B61"/>
  <c r="Y71"/>
  <c r="X71"/>
  <c r="K109" i="2"/>
  <c r="Z109"/>
  <c r="X73"/>
  <c r="Y73"/>
  <c r="B63" i="13" l="1"/>
  <c r="AA62"/>
  <c r="Y61"/>
  <c r="X61"/>
  <c r="AA59" i="12"/>
  <c r="B60"/>
  <c r="C60" i="10"/>
  <c r="AA59"/>
  <c r="B59" i="11"/>
  <c r="AA58"/>
  <c r="Y62" i="12"/>
  <c r="X62"/>
  <c r="Y140" i="11"/>
  <c r="X140"/>
  <c r="Y155" i="10"/>
  <c r="X155"/>
  <c r="B64"/>
  <c r="Y78"/>
  <c r="X78"/>
  <c r="Y151" i="7"/>
  <c r="X151"/>
  <c r="Y72" i="9"/>
  <c r="X72"/>
  <c r="C60"/>
  <c r="AA59"/>
  <c r="B64"/>
  <c r="X149"/>
  <c r="Y149"/>
  <c r="X72" i="7"/>
  <c r="Y72"/>
  <c r="B70"/>
  <c r="C60"/>
  <c r="AA59"/>
  <c r="C59" i="6"/>
  <c r="AA58"/>
  <c r="B62"/>
  <c r="Y72"/>
  <c r="X72"/>
  <c r="X74" i="2"/>
  <c r="Y74"/>
  <c r="Z110"/>
  <c r="K110"/>
  <c r="B64" i="13" l="1"/>
  <c r="AA63"/>
  <c r="X62"/>
  <c r="Y62"/>
  <c r="AA59" i="11"/>
  <c r="B60"/>
  <c r="AA60" i="12"/>
  <c r="B61"/>
  <c r="C61" i="10"/>
  <c r="AA60"/>
  <c r="X63" i="12"/>
  <c r="Y63"/>
  <c r="X141" i="11"/>
  <c r="Y141"/>
  <c r="X156" i="10"/>
  <c r="Y156"/>
  <c r="B65"/>
  <c r="Y79"/>
  <c r="X79"/>
  <c r="Y152" i="7"/>
  <c r="X152"/>
  <c r="B65" i="9"/>
  <c r="Y73"/>
  <c r="X73"/>
  <c r="C61"/>
  <c r="AA60"/>
  <c r="X150"/>
  <c r="Y150"/>
  <c r="Y73" i="7"/>
  <c r="X73"/>
  <c r="C61"/>
  <c r="AA60"/>
  <c r="B71"/>
  <c r="C60" i="6"/>
  <c r="AA59"/>
  <c r="B63"/>
  <c r="X73"/>
  <c r="Y73"/>
  <c r="X75" i="2"/>
  <c r="Y75"/>
  <c r="Z111"/>
  <c r="K111"/>
  <c r="B65" i="13" l="1"/>
  <c r="AA64"/>
  <c r="Y63"/>
  <c r="X63"/>
  <c r="C62" i="10"/>
  <c r="AA61"/>
  <c r="AA60" i="11"/>
  <c r="B61"/>
  <c r="B62" i="12"/>
  <c r="AA61"/>
  <c r="Y64"/>
  <c r="X64"/>
  <c r="X142" i="11"/>
  <c r="Y142"/>
  <c r="X157" i="10"/>
  <c r="Y157"/>
  <c r="B66"/>
  <c r="X80"/>
  <c r="Y80"/>
  <c r="X153" i="7"/>
  <c r="Y153"/>
  <c r="C62" i="9"/>
  <c r="AA61"/>
  <c r="B66"/>
  <c r="X74"/>
  <c r="Y74"/>
  <c r="X151"/>
  <c r="Y151"/>
  <c r="B72" i="7"/>
  <c r="Y74"/>
  <c r="X74"/>
  <c r="C62"/>
  <c r="AA61"/>
  <c r="C61" i="6"/>
  <c r="AA60"/>
  <c r="B64"/>
  <c r="X74"/>
  <c r="Y74"/>
  <c r="X76" i="2"/>
  <c r="Y76"/>
  <c r="Z112"/>
  <c r="K112"/>
  <c r="B66" i="13" l="1"/>
  <c r="AA65"/>
  <c r="X64"/>
  <c r="Y64"/>
  <c r="AA62" i="12"/>
  <c r="B63"/>
  <c r="C63" i="10"/>
  <c r="AA62"/>
  <c r="B62" i="11"/>
  <c r="AA61"/>
  <c r="X65" i="12"/>
  <c r="Y65"/>
  <c r="Y143" i="11"/>
  <c r="X143"/>
  <c r="X158" i="10"/>
  <c r="Y158"/>
  <c r="B67"/>
  <c r="X81"/>
  <c r="Y81"/>
  <c r="Y154" i="7"/>
  <c r="X154"/>
  <c r="X75" i="9"/>
  <c r="Y75"/>
  <c r="B67"/>
  <c r="C63"/>
  <c r="AA62"/>
  <c r="X152"/>
  <c r="Y152"/>
  <c r="C63" i="7"/>
  <c r="AA62"/>
  <c r="B73"/>
  <c r="Y75"/>
  <c r="X75"/>
  <c r="C62" i="6"/>
  <c r="AA61"/>
  <c r="B65"/>
  <c r="X75"/>
  <c r="Y75"/>
  <c r="X77" i="2"/>
  <c r="Y77"/>
  <c r="X99"/>
  <c r="Y99"/>
  <c r="AA66" i="13" l="1"/>
  <c r="B67"/>
  <c r="X65"/>
  <c r="Y65"/>
  <c r="AA62" i="11"/>
  <c r="B63"/>
  <c r="C64" i="10"/>
  <c r="AA63"/>
  <c r="AA63" i="12"/>
  <c r="B64"/>
  <c r="Y66"/>
  <c r="X66"/>
  <c r="X144" i="11"/>
  <c r="Y144"/>
  <c r="X159" i="10"/>
  <c r="Y159"/>
  <c r="B68"/>
  <c r="Y82"/>
  <c r="X82"/>
  <c r="Y155" i="7"/>
  <c r="X155"/>
  <c r="Y76" i="9"/>
  <c r="X76"/>
  <c r="B68"/>
  <c r="C64"/>
  <c r="AA63"/>
  <c r="Y153"/>
  <c r="X153"/>
  <c r="C64" i="7"/>
  <c r="AA63"/>
  <c r="Y76"/>
  <c r="X76"/>
  <c r="B74"/>
  <c r="C63" i="6"/>
  <c r="AA62"/>
  <c r="B66"/>
  <c r="Y76"/>
  <c r="X76"/>
  <c r="Y78" i="2"/>
  <c r="X78"/>
  <c r="Y100"/>
  <c r="X100"/>
  <c r="AA67" i="13" l="1"/>
  <c r="B68"/>
  <c r="X66"/>
  <c r="Y66"/>
  <c r="AA64" i="12"/>
  <c r="B65"/>
  <c r="C65" i="10"/>
  <c r="AA64"/>
  <c r="B64" i="11"/>
  <c r="AA63"/>
  <c r="Y67" i="12"/>
  <c r="X67"/>
  <c r="X145" i="11"/>
  <c r="Y145"/>
  <c r="X160" i="10"/>
  <c r="Y160"/>
  <c r="B69"/>
  <c r="Y83"/>
  <c r="X83"/>
  <c r="Y156" i="7"/>
  <c r="X156"/>
  <c r="X77" i="9"/>
  <c r="Y77"/>
  <c r="B69"/>
  <c r="C65"/>
  <c r="AA64"/>
  <c r="Y154"/>
  <c r="X154"/>
  <c r="C65" i="7"/>
  <c r="AA64"/>
  <c r="B75"/>
  <c r="Y77"/>
  <c r="X77"/>
  <c r="C64" i="6"/>
  <c r="AA63"/>
  <c r="B67"/>
  <c r="X77"/>
  <c r="Y77"/>
  <c r="X79" i="2"/>
  <c r="Y79"/>
  <c r="Y101"/>
  <c r="X101"/>
  <c r="B69" i="13" l="1"/>
  <c r="AA68"/>
  <c r="X67"/>
  <c r="Y67"/>
  <c r="B65" i="11"/>
  <c r="AA64"/>
  <c r="C66" i="10"/>
  <c r="AA65"/>
  <c r="B66" i="12"/>
  <c r="AA65"/>
  <c r="Y68"/>
  <c r="X68"/>
  <c r="X146" i="11"/>
  <c r="Y146"/>
  <c r="Y161" i="10"/>
  <c r="X161"/>
  <c r="B70"/>
  <c r="Y84"/>
  <c r="X84"/>
  <c r="X157" i="7"/>
  <c r="Y157"/>
  <c r="X78" i="9"/>
  <c r="Y78"/>
  <c r="B70"/>
  <c r="C66"/>
  <c r="AA65"/>
  <c r="Y155"/>
  <c r="X155"/>
  <c r="C66" i="7"/>
  <c r="AA65"/>
  <c r="Y78"/>
  <c r="X78"/>
  <c r="B76"/>
  <c r="C65" i="6"/>
  <c r="AA64"/>
  <c r="B68"/>
  <c r="Y78"/>
  <c r="X78"/>
  <c r="X80" i="2"/>
  <c r="Y80"/>
  <c r="Y102"/>
  <c r="X102"/>
  <c r="AA69" i="13" l="1"/>
  <c r="B70"/>
  <c r="X68"/>
  <c r="Y68"/>
  <c r="B67" i="12"/>
  <c r="AA66"/>
  <c r="AA65" i="11"/>
  <c r="B66"/>
  <c r="C67" i="10"/>
  <c r="AA66"/>
  <c r="X69" i="12"/>
  <c r="Y69"/>
  <c r="X147" i="11"/>
  <c r="Y147"/>
  <c r="Y162" i="10"/>
  <c r="X162"/>
  <c r="B71"/>
  <c r="Y158" i="7"/>
  <c r="X158"/>
  <c r="X79" i="9"/>
  <c r="Y79"/>
  <c r="C67"/>
  <c r="AA66"/>
  <c r="B71"/>
  <c r="X156"/>
  <c r="Y156"/>
  <c r="B77" i="7"/>
  <c r="C67"/>
  <c r="AA66"/>
  <c r="Y79"/>
  <c r="X79"/>
  <c r="C66" i="6"/>
  <c r="AA65"/>
  <c r="B69"/>
  <c r="X79"/>
  <c r="Y79"/>
  <c r="X81" i="2"/>
  <c r="Y81"/>
  <c r="Y103"/>
  <c r="X103"/>
  <c r="B71" i="13" l="1"/>
  <c r="AA70"/>
  <c r="X69"/>
  <c r="Y69"/>
  <c r="C68" i="10"/>
  <c r="AA67"/>
  <c r="AA67" i="12"/>
  <c r="B68"/>
  <c r="AA66" i="11"/>
  <c r="B67"/>
  <c r="X70" i="12"/>
  <c r="Y70"/>
  <c r="Y148" i="11"/>
  <c r="X148"/>
  <c r="X163" i="10"/>
  <c r="Y163"/>
  <c r="B72"/>
  <c r="Y159" i="7"/>
  <c r="X159"/>
  <c r="B72" i="9"/>
  <c r="Y80"/>
  <c r="X80"/>
  <c r="C68"/>
  <c r="AA67"/>
  <c r="X80" i="7"/>
  <c r="Y80"/>
  <c r="B78"/>
  <c r="C68"/>
  <c r="AA67"/>
  <c r="C67" i="6"/>
  <c r="AA66"/>
  <c r="B70"/>
  <c r="X80"/>
  <c r="Y80"/>
  <c r="Y82" i="2"/>
  <c r="X82"/>
  <c r="X104"/>
  <c r="Y104"/>
  <c r="AA71" i="13" l="1"/>
  <c r="B72"/>
  <c r="Y70"/>
  <c r="X70"/>
  <c r="C69" i="10"/>
  <c r="AA68"/>
  <c r="AA67" i="11"/>
  <c r="B68"/>
  <c r="AA68" i="12"/>
  <c r="B69"/>
  <c r="Y71"/>
  <c r="X71"/>
  <c r="Y149" i="11"/>
  <c r="X149"/>
  <c r="X164" i="10"/>
  <c r="Y164"/>
  <c r="B73"/>
  <c r="Y160" i="7"/>
  <c r="X160"/>
  <c r="B73" i="9"/>
  <c r="C69"/>
  <c r="AA68"/>
  <c r="Y81"/>
  <c r="X81"/>
  <c r="X81" i="7"/>
  <c r="Y81"/>
  <c r="C69"/>
  <c r="AA68"/>
  <c r="B79"/>
  <c r="C68" i="6"/>
  <c r="AA67"/>
  <c r="B71"/>
  <c r="Y81"/>
  <c r="X81"/>
  <c r="X83" i="2"/>
  <c r="Y83"/>
  <c r="X105"/>
  <c r="Y105"/>
  <c r="AA72" i="13" l="1"/>
  <c r="B73"/>
  <c r="Y71"/>
  <c r="X71"/>
  <c r="C70" i="10"/>
  <c r="AA69"/>
  <c r="AA69" i="12"/>
  <c r="B70"/>
  <c r="AA68" i="11"/>
  <c r="B69"/>
  <c r="X72" i="12"/>
  <c r="Y72"/>
  <c r="X150" i="11"/>
  <c r="Y150"/>
  <c r="X165" i="10"/>
  <c r="Y165"/>
  <c r="B74"/>
  <c r="X161" i="7"/>
  <c r="Y161"/>
  <c r="Y82" i="9"/>
  <c r="X82"/>
  <c r="B74"/>
  <c r="C70"/>
  <c r="AA69"/>
  <c r="X82" i="7"/>
  <c r="Y82"/>
  <c r="C70"/>
  <c r="AA69"/>
  <c r="B80"/>
  <c r="C69" i="6"/>
  <c r="AA68"/>
  <c r="B72"/>
  <c r="Y82"/>
  <c r="X82"/>
  <c r="X84" i="2"/>
  <c r="Y84"/>
  <c r="X106"/>
  <c r="Y106"/>
  <c r="B74" i="13" l="1"/>
  <c r="AA73"/>
  <c r="X72"/>
  <c r="Y72"/>
  <c r="C71" i="10"/>
  <c r="AA70"/>
  <c r="B70" i="11"/>
  <c r="AA69"/>
  <c r="AA70" i="12"/>
  <c r="B71"/>
  <c r="Y73"/>
  <c r="X73"/>
  <c r="X151" i="11"/>
  <c r="Y151"/>
  <c r="B75" i="10"/>
  <c r="C71" i="9"/>
  <c r="AA70"/>
  <c r="B75"/>
  <c r="X83"/>
  <c r="Y83"/>
  <c r="B81" i="7"/>
  <c r="C71"/>
  <c r="AA70"/>
  <c r="Y83"/>
  <c r="X83"/>
  <c r="C70" i="6"/>
  <c r="AA69"/>
  <c r="B73"/>
  <c r="Y83"/>
  <c r="X83"/>
  <c r="X85" i="2"/>
  <c r="Y85"/>
  <c r="Y107"/>
  <c r="X107"/>
  <c r="B75" i="13" l="1"/>
  <c r="AA74"/>
  <c r="Y73"/>
  <c r="X73"/>
  <c r="C72" i="10"/>
  <c r="AA71"/>
  <c r="B72" i="12"/>
  <c r="AA71"/>
  <c r="B71" i="11"/>
  <c r="AA70"/>
  <c r="Y74" i="12"/>
  <c r="X74"/>
  <c r="X152" i="11"/>
  <c r="Y152"/>
  <c r="B76" i="10"/>
  <c r="C72" i="9"/>
  <c r="AA71"/>
  <c r="B76"/>
  <c r="X84"/>
  <c r="Y84"/>
  <c r="B82" i="7"/>
  <c r="C72"/>
  <c r="AA71"/>
  <c r="X84"/>
  <c r="Y84"/>
  <c r="C71" i="6"/>
  <c r="AA70"/>
  <c r="B74"/>
  <c r="Y84"/>
  <c r="X84"/>
  <c r="Y86" i="2"/>
  <c r="X86"/>
  <c r="X108"/>
  <c r="Y108"/>
  <c r="B76" i="13" l="1"/>
  <c r="AA75"/>
  <c r="X74"/>
  <c r="Y74"/>
  <c r="AA71" i="11"/>
  <c r="B72"/>
  <c r="C73" i="10"/>
  <c r="AA72"/>
  <c r="AA72" i="12"/>
  <c r="B73"/>
  <c r="X75"/>
  <c r="Y75"/>
  <c r="X153" i="11"/>
  <c r="Y153"/>
  <c r="B77" i="10"/>
  <c r="C73" i="9"/>
  <c r="AA72"/>
  <c r="B77"/>
  <c r="X85" i="10"/>
  <c r="Y85"/>
  <c r="X85" i="9"/>
  <c r="Y85"/>
  <c r="X85" i="7"/>
  <c r="Y85"/>
  <c r="C73"/>
  <c r="AA72"/>
  <c r="B83"/>
  <c r="C72" i="6"/>
  <c r="AA71"/>
  <c r="B75"/>
  <c r="X85"/>
  <c r="Y85"/>
  <c r="X87" i="2"/>
  <c r="Y87"/>
  <c r="X109"/>
  <c r="Y109"/>
  <c r="B77" i="13" l="1"/>
  <c r="AA76"/>
  <c r="X75"/>
  <c r="Y75"/>
  <c r="C74" i="10"/>
  <c r="AA73"/>
  <c r="B74" i="12"/>
  <c r="AA73"/>
  <c r="B73" i="11"/>
  <c r="AA72"/>
  <c r="Y76" i="12"/>
  <c r="X76"/>
  <c r="X154" i="11"/>
  <c r="Y154"/>
  <c r="B78" i="10"/>
  <c r="C74" i="9"/>
  <c r="AA73"/>
  <c r="B78"/>
  <c r="Y86" i="10"/>
  <c r="X86"/>
  <c r="X86" i="9"/>
  <c r="Y86"/>
  <c r="Y86" i="7"/>
  <c r="X86"/>
  <c r="C74"/>
  <c r="AA73"/>
  <c r="B84"/>
  <c r="C73" i="6"/>
  <c r="AA72"/>
  <c r="B76"/>
  <c r="X86"/>
  <c r="Y86"/>
  <c r="X88" i="2"/>
  <c r="Y88"/>
  <c r="X110"/>
  <c r="Y110"/>
  <c r="B78" i="13" l="1"/>
  <c r="AA77"/>
  <c r="Y76"/>
  <c r="X76"/>
  <c r="AA73" i="11"/>
  <c r="B74"/>
  <c r="C75" i="10"/>
  <c r="AA74"/>
  <c r="B75" i="12"/>
  <c r="AA74"/>
  <c r="Y77"/>
  <c r="X77"/>
  <c r="Y155" i="11"/>
  <c r="X155"/>
  <c r="B79" i="10"/>
  <c r="C75" i="9"/>
  <c r="AA74"/>
  <c r="B79"/>
  <c r="X87" i="10"/>
  <c r="Y87"/>
  <c r="X87" i="9"/>
  <c r="Y87"/>
  <c r="Y87" i="7"/>
  <c r="X87"/>
  <c r="C75"/>
  <c r="AA74"/>
  <c r="B85"/>
  <c r="C74" i="6"/>
  <c r="AA73"/>
  <c r="B77"/>
  <c r="Y87"/>
  <c r="X87"/>
  <c r="X89" i="2"/>
  <c r="Y89"/>
  <c r="Y111"/>
  <c r="X111"/>
  <c r="B79" i="13" l="1"/>
  <c r="AA78"/>
  <c r="X77"/>
  <c r="Y77"/>
  <c r="AA75" i="12"/>
  <c r="B76"/>
  <c r="AA74" i="11"/>
  <c r="B75"/>
  <c r="C76" i="10"/>
  <c r="AA75"/>
  <c r="X78" i="12"/>
  <c r="Y78"/>
  <c r="X156" i="11"/>
  <c r="Y156"/>
  <c r="B80" i="10"/>
  <c r="C76" i="9"/>
  <c r="AA75"/>
  <c r="B80"/>
  <c r="Y88" i="10"/>
  <c r="X88"/>
  <c r="Y88" i="9"/>
  <c r="X88"/>
  <c r="X88" i="7"/>
  <c r="Y88"/>
  <c r="B86"/>
  <c r="C76"/>
  <c r="AA75"/>
  <c r="C75" i="6"/>
  <c r="AA74"/>
  <c r="B78"/>
  <c r="Y88"/>
  <c r="X88"/>
  <c r="Y90" i="2"/>
  <c r="X90"/>
  <c r="X112"/>
  <c r="Y112"/>
  <c r="B80" i="13" l="1"/>
  <c r="AA79"/>
  <c r="Y78"/>
  <c r="X78"/>
  <c r="C77" i="10"/>
  <c r="AA76"/>
  <c r="B77" i="12"/>
  <c r="AA76"/>
  <c r="AA75" i="11"/>
  <c r="B76"/>
  <c r="Y79" i="12"/>
  <c r="X79"/>
  <c r="Y157" i="11"/>
  <c r="X157"/>
  <c r="B81" i="10"/>
  <c r="C77" i="9"/>
  <c r="AA76"/>
  <c r="B81"/>
  <c r="Y89" i="10"/>
  <c r="X89"/>
  <c r="X89" i="9"/>
  <c r="Y89"/>
  <c r="X89" i="7"/>
  <c r="Y89"/>
  <c r="C77"/>
  <c r="AA76"/>
  <c r="B87"/>
  <c r="C76" i="6"/>
  <c r="AA75"/>
  <c r="B79"/>
  <c r="Y89"/>
  <c r="X89"/>
  <c r="X91" i="2"/>
  <c r="Y92" s="1"/>
  <c r="Y91"/>
  <c r="B81" i="13" l="1"/>
  <c r="AA80"/>
  <c r="X79"/>
  <c r="Y79"/>
  <c r="C78" i="10"/>
  <c r="AA77"/>
  <c r="B77" i="11"/>
  <c r="AA76"/>
  <c r="B78" i="12"/>
  <c r="AA77"/>
  <c r="X80"/>
  <c r="Y80"/>
  <c r="Y158" i="11"/>
  <c r="X158"/>
  <c r="B82" i="10"/>
  <c r="C78" i="9"/>
  <c r="AA77"/>
  <c r="B82"/>
  <c r="Y90" i="10"/>
  <c r="X90"/>
  <c r="X90" i="7"/>
  <c r="Y90"/>
  <c r="Y90" i="9"/>
  <c r="X90"/>
  <c r="Y91" s="1"/>
  <c r="C78" i="7"/>
  <c r="AA77"/>
  <c r="B88"/>
  <c r="C77" i="6"/>
  <c r="AA76"/>
  <c r="B80"/>
  <c r="Y90"/>
  <c r="X90"/>
  <c r="B82" i="13" l="1"/>
  <c r="AA81"/>
  <c r="Y80"/>
  <c r="X80"/>
  <c r="AA78" i="12"/>
  <c r="B79"/>
  <c r="C79" i="10"/>
  <c r="AA78"/>
  <c r="B78" i="11"/>
  <c r="AA77"/>
  <c r="Y81" i="12"/>
  <c r="X81"/>
  <c r="Y159" i="11"/>
  <c r="X159"/>
  <c r="B83" i="10"/>
  <c r="B83" i="9"/>
  <c r="C79"/>
  <c r="AA78"/>
  <c r="X91" i="10"/>
  <c r="Y91"/>
  <c r="Y91" i="7"/>
  <c r="X91"/>
  <c r="C79"/>
  <c r="AA78"/>
  <c r="B89"/>
  <c r="B90" s="1"/>
  <c r="C78" i="6"/>
  <c r="AA77"/>
  <c r="Y91"/>
  <c r="X91"/>
  <c r="B83" i="13" l="1"/>
  <c r="AA82"/>
  <c r="X81"/>
  <c r="Y81"/>
  <c r="B79" i="11"/>
  <c r="AA78"/>
  <c r="C80" i="10"/>
  <c r="AA79"/>
  <c r="B80" i="12"/>
  <c r="AA79"/>
  <c r="Y82"/>
  <c r="X82"/>
  <c r="Y160" i="11"/>
  <c r="X160"/>
  <c r="B84" i="10"/>
  <c r="B84" i="9"/>
  <c r="C80"/>
  <c r="AA79"/>
  <c r="Y92" i="7"/>
  <c r="X92"/>
  <c r="B91"/>
  <c r="C80"/>
  <c r="AA79"/>
  <c r="C79" i="6"/>
  <c r="AA78"/>
  <c r="X92"/>
  <c r="Y92"/>
  <c r="X82" i="13" l="1"/>
  <c r="Y82"/>
  <c r="B84"/>
  <c r="AA83"/>
  <c r="AA80" i="12"/>
  <c r="B81"/>
  <c r="AA79" i="11"/>
  <c r="B80"/>
  <c r="C81" i="10"/>
  <c r="AA80"/>
  <c r="X83" i="12"/>
  <c r="Y83"/>
  <c r="Y161" i="11"/>
  <c r="X161"/>
  <c r="B85" i="9"/>
  <c r="C81"/>
  <c r="AA80"/>
  <c r="B85" i="10"/>
  <c r="X93" i="7"/>
  <c r="Y93"/>
  <c r="B92"/>
  <c r="C81"/>
  <c r="AA80"/>
  <c r="C80" i="6"/>
  <c r="AA79"/>
  <c r="X93"/>
  <c r="Y94" s="1"/>
  <c r="Y93"/>
  <c r="X83" i="13" l="1"/>
  <c r="Y83"/>
  <c r="AA84"/>
  <c r="B85"/>
  <c r="C82" i="10"/>
  <c r="AA81"/>
  <c r="B82" i="12"/>
  <c r="AA81"/>
  <c r="AA80" i="11"/>
  <c r="B81"/>
  <c r="Y84" i="12"/>
  <c r="X84"/>
  <c r="B86" i="9"/>
  <c r="C82"/>
  <c r="AA81"/>
  <c r="B86" i="10"/>
  <c r="Y94" i="7"/>
  <c r="X94"/>
  <c r="B93"/>
  <c r="C82"/>
  <c r="AA81"/>
  <c r="C81" i="6"/>
  <c r="AA80"/>
  <c r="X84" i="13" l="1"/>
  <c r="Y84"/>
  <c r="AA85"/>
  <c r="B86"/>
  <c r="C83" i="10"/>
  <c r="AA82"/>
  <c r="AA81" i="11"/>
  <c r="B82"/>
  <c r="AA82" i="12"/>
  <c r="B83"/>
  <c r="Y85"/>
  <c r="X85"/>
  <c r="B87" i="9"/>
  <c r="C83"/>
  <c r="AA82"/>
  <c r="B87" i="10"/>
  <c r="X95" i="7"/>
  <c r="Y96" s="1"/>
  <c r="Y95"/>
  <c r="B94"/>
  <c r="C83"/>
  <c r="AA82"/>
  <c r="AA81" i="6"/>
  <c r="C82"/>
  <c r="X85" i="13" l="1"/>
  <c r="Y85"/>
  <c r="B87"/>
  <c r="AA86"/>
  <c r="C84" i="10"/>
  <c r="AA84" s="1"/>
  <c r="AA83"/>
  <c r="B84" i="12"/>
  <c r="AA83"/>
  <c r="B83" i="11"/>
  <c r="AA82"/>
  <c r="X86" i="12"/>
  <c r="Y86"/>
  <c r="B88" i="9"/>
  <c r="C84"/>
  <c r="AA83"/>
  <c r="B88" i="10"/>
  <c r="B95" i="7"/>
  <c r="C84"/>
  <c r="AA83"/>
  <c r="C83" i="6"/>
  <c r="AA82"/>
  <c r="X86" i="13" l="1"/>
  <c r="Y86"/>
  <c r="B88"/>
  <c r="AA87"/>
  <c r="B85" i="12"/>
  <c r="AA84"/>
  <c r="AA83" i="11"/>
  <c r="B84"/>
  <c r="Y87" i="12"/>
  <c r="X87"/>
  <c r="B89" i="9"/>
  <c r="C85"/>
  <c r="AA84"/>
  <c r="B89" i="10"/>
  <c r="B96" i="7"/>
  <c r="C85"/>
  <c r="AA84"/>
  <c r="AA83" i="6"/>
  <c r="C84"/>
  <c r="X87" i="13" l="1"/>
  <c r="Y87"/>
  <c r="B89"/>
  <c r="AA88"/>
  <c r="AA85" i="12"/>
  <c r="B86"/>
  <c r="AA84" i="11"/>
  <c r="B85"/>
  <c r="Y88" i="12"/>
  <c r="X88"/>
  <c r="C85" i="10"/>
  <c r="B90" i="9"/>
  <c r="C86"/>
  <c r="AA85"/>
  <c r="B90" i="10"/>
  <c r="B91" s="1"/>
  <c r="B92" s="1"/>
  <c r="B97" i="7"/>
  <c r="C86"/>
  <c r="AA85"/>
  <c r="AA84" i="6"/>
  <c r="C85"/>
  <c r="X88" i="13" l="1"/>
  <c r="Y88"/>
  <c r="B90"/>
  <c r="AA89"/>
  <c r="X89" i="12"/>
  <c r="Y89"/>
  <c r="B87"/>
  <c r="AA86"/>
  <c r="AA85" i="11"/>
  <c r="B86"/>
  <c r="B93" i="10"/>
  <c r="C86"/>
  <c r="AA85"/>
  <c r="B91" i="9"/>
  <c r="C87"/>
  <c r="AA86"/>
  <c r="B98" i="7"/>
  <c r="C87"/>
  <c r="AA86"/>
  <c r="AA85" i="6"/>
  <c r="C86"/>
  <c r="X89" i="13" l="1"/>
  <c r="Y89"/>
  <c r="B91"/>
  <c r="AA90"/>
  <c r="X90" i="12"/>
  <c r="Y90"/>
  <c r="B88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AA171" s="1"/>
  <c r="AA87"/>
  <c r="B87" i="11"/>
  <c r="AA86"/>
  <c r="B94" i="10"/>
  <c r="C87"/>
  <c r="AA86"/>
  <c r="B92" i="9"/>
  <c r="C88"/>
  <c r="AA87"/>
  <c r="B99" i="7"/>
  <c r="C88"/>
  <c r="AA87"/>
  <c r="AA86" i="6"/>
  <c r="C87"/>
  <c r="Y90" i="13" l="1"/>
  <c r="X90"/>
  <c r="B92"/>
  <c r="AA91"/>
  <c r="Y91" i="12"/>
  <c r="X91"/>
  <c r="AA88"/>
  <c r="AA87" i="11"/>
  <c r="B88"/>
  <c r="B95" i="10"/>
  <c r="C88"/>
  <c r="AA87"/>
  <c r="B93" i="9"/>
  <c r="C89"/>
  <c r="AA88"/>
  <c r="B100" i="7"/>
  <c r="C89"/>
  <c r="C90" s="1"/>
  <c r="AA88"/>
  <c r="AA87" i="6"/>
  <c r="C88"/>
  <c r="Y91" i="13" l="1"/>
  <c r="X91"/>
  <c r="B93"/>
  <c r="AA92"/>
  <c r="X92" i="12"/>
  <c r="Y92"/>
  <c r="AA89"/>
  <c r="AA88" i="11"/>
  <c r="B89"/>
  <c r="B96" i="10"/>
  <c r="C89"/>
  <c r="AA88"/>
  <c r="B94" i="9"/>
  <c r="C90"/>
  <c r="AA89"/>
  <c r="C91" i="7"/>
  <c r="AA90"/>
  <c r="B101"/>
  <c r="AA89"/>
  <c r="AA88" i="6"/>
  <c r="C89"/>
  <c r="AA93" i="13" l="1"/>
  <c r="B94"/>
  <c r="X92"/>
  <c r="Y92"/>
  <c r="X93" i="12"/>
  <c r="Y93"/>
  <c r="AA90"/>
  <c r="AA89" i="11"/>
  <c r="B90"/>
  <c r="B97" i="10"/>
  <c r="C90"/>
  <c r="AA89"/>
  <c r="B95" i="9"/>
  <c r="C91"/>
  <c r="AA90"/>
  <c r="C92" i="7"/>
  <c r="AA91"/>
  <c r="B102"/>
  <c r="AA89" i="6"/>
  <c r="C90"/>
  <c r="B95" i="13" l="1"/>
  <c r="AA94"/>
  <c r="X93"/>
  <c r="Y93"/>
  <c r="Y94" i="12"/>
  <c r="X94"/>
  <c r="AA91"/>
  <c r="AA90" i="11"/>
  <c r="B91"/>
  <c r="B98" i="10"/>
  <c r="C91"/>
  <c r="C92" s="1"/>
  <c r="AA90"/>
  <c r="B96" i="9"/>
  <c r="C92"/>
  <c r="AA91"/>
  <c r="C93" i="7"/>
  <c r="AA92"/>
  <c r="B103"/>
  <c r="AA90" i="6"/>
  <c r="C91"/>
  <c r="AA95" i="13" l="1"/>
  <c r="B96"/>
  <c r="X94"/>
  <c r="Y94"/>
  <c r="X95" i="12"/>
  <c r="Y95"/>
  <c r="C93" i="10"/>
  <c r="AA92"/>
  <c r="AA92" i="12"/>
  <c r="AA91" i="11"/>
  <c r="B92"/>
  <c r="B99" i="10"/>
  <c r="AA91"/>
  <c r="B97" i="9"/>
  <c r="C93"/>
  <c r="AA92"/>
  <c r="B104" i="7"/>
  <c r="C94"/>
  <c r="AA93"/>
  <c r="AA91" i="6"/>
  <c r="C92"/>
  <c r="Y95" i="13" l="1"/>
  <c r="X95"/>
  <c r="AA96"/>
  <c r="B97"/>
  <c r="Y96" i="12"/>
  <c r="X96"/>
  <c r="C94" i="10"/>
  <c r="AA93"/>
  <c r="B93" i="11"/>
  <c r="AA92"/>
  <c r="AA93" i="12"/>
  <c r="B100" i="10"/>
  <c r="B98" i="9"/>
  <c r="C94"/>
  <c r="AA93"/>
  <c r="C95" i="7"/>
  <c r="AA94"/>
  <c r="B105"/>
  <c r="AA92" i="6"/>
  <c r="C93"/>
  <c r="X96" i="13" l="1"/>
  <c r="Y96"/>
  <c r="AA97"/>
  <c r="B98"/>
  <c r="X97" i="12"/>
  <c r="Y97"/>
  <c r="AA94"/>
  <c r="C95" i="10"/>
  <c r="AA94"/>
  <c r="B94" i="11"/>
  <c r="AA93"/>
  <c r="B101" i="10"/>
  <c r="C95" i="9"/>
  <c r="AA94"/>
  <c r="B99"/>
  <c r="C96" i="7"/>
  <c r="AA95"/>
  <c r="B106"/>
  <c r="AA93" i="6"/>
  <c r="C94"/>
  <c r="Y97" i="13" l="1"/>
  <c r="X97"/>
  <c r="B99"/>
  <c r="AA98"/>
  <c r="X98" i="12"/>
  <c r="Y98"/>
  <c r="AA95"/>
  <c r="B95" i="11"/>
  <c r="AA94"/>
  <c r="C96" i="10"/>
  <c r="AA95"/>
  <c r="B102"/>
  <c r="B100" i="9"/>
  <c r="C96"/>
  <c r="AA95"/>
  <c r="C97" i="7"/>
  <c r="AA96"/>
  <c r="B107"/>
  <c r="AA94" i="6"/>
  <c r="C95"/>
  <c r="AA99" i="13" l="1"/>
  <c r="B100"/>
  <c r="Y98"/>
  <c r="X98"/>
  <c r="Y99" i="12"/>
  <c r="X99"/>
  <c r="C97" i="10"/>
  <c r="AA96"/>
  <c r="B96" i="11"/>
  <c r="AA95"/>
  <c r="AA96" i="12"/>
  <c r="B103" i="10"/>
  <c r="C97" i="9"/>
  <c r="AA96"/>
  <c r="B101"/>
  <c r="B108" i="7"/>
  <c r="C98"/>
  <c r="AA97"/>
  <c r="AA95" i="6"/>
  <c r="C96"/>
  <c r="B101" i="13" l="1"/>
  <c r="AA100"/>
  <c r="Y99"/>
  <c r="X99"/>
  <c r="X100" i="12"/>
  <c r="Y100"/>
  <c r="AA97"/>
  <c r="C98" i="10"/>
  <c r="AA97"/>
  <c r="B97" i="11"/>
  <c r="AA96"/>
  <c r="B104" i="10"/>
  <c r="C98" i="9"/>
  <c r="AA97"/>
  <c r="B102"/>
  <c r="C99" i="7"/>
  <c r="AA98"/>
  <c r="B109"/>
  <c r="AA96" i="6"/>
  <c r="C97"/>
  <c r="B102" i="13" l="1"/>
  <c r="AA101"/>
  <c r="Y100"/>
  <c r="X100"/>
  <c r="Y101" i="12"/>
  <c r="X101"/>
  <c r="B98" i="11"/>
  <c r="AA97"/>
  <c r="C99" i="10"/>
  <c r="AA98"/>
  <c r="AA98" i="12"/>
  <c r="B105" i="10"/>
  <c r="C99" i="9"/>
  <c r="AA98"/>
  <c r="B103"/>
  <c r="C100" i="7"/>
  <c r="AA99"/>
  <c r="B110"/>
  <c r="AA97" i="6"/>
  <c r="C98"/>
  <c r="AA102" i="13" l="1"/>
  <c r="B103"/>
  <c r="Y101"/>
  <c r="X101"/>
  <c r="Y102" i="12"/>
  <c r="X102"/>
  <c r="B99" i="11"/>
  <c r="AA98"/>
  <c r="AA99" i="12"/>
  <c r="C100" i="10"/>
  <c r="AA99"/>
  <c r="B106"/>
  <c r="C100" i="9"/>
  <c r="AA99"/>
  <c r="B104"/>
  <c r="B111" i="7"/>
  <c r="C101"/>
  <c r="AA100"/>
  <c r="AA98" i="6"/>
  <c r="C99"/>
  <c r="B104" i="13" l="1"/>
  <c r="AA103"/>
  <c r="X102"/>
  <c r="Y102"/>
  <c r="Y103" i="12"/>
  <c r="X103"/>
  <c r="C101" i="10"/>
  <c r="AA100"/>
  <c r="B100" i="11"/>
  <c r="AA99"/>
  <c r="AA100" i="12"/>
  <c r="B107" i="10"/>
  <c r="C101" i="9"/>
  <c r="AA100"/>
  <c r="B105"/>
  <c r="B112" i="7"/>
  <c r="C102"/>
  <c r="AA101"/>
  <c r="C100" i="6"/>
  <c r="AA99"/>
  <c r="AA104" i="13" l="1"/>
  <c r="B105"/>
  <c r="Y103"/>
  <c r="X103"/>
  <c r="X104" i="12"/>
  <c r="Y104"/>
  <c r="C102" i="10"/>
  <c r="AA101"/>
  <c r="AA101" i="12"/>
  <c r="AA100" i="11"/>
  <c r="B101"/>
  <c r="B108" i="10"/>
  <c r="C102" i="9"/>
  <c r="AA101"/>
  <c r="B106"/>
  <c r="C103" i="7"/>
  <c r="AA102"/>
  <c r="B113"/>
  <c r="AA100" i="6"/>
  <c r="C101"/>
  <c r="AA105" i="13" l="1"/>
  <c r="B106"/>
  <c r="X104"/>
  <c r="Y104"/>
  <c r="Y105" i="12"/>
  <c r="X105"/>
  <c r="C103" i="10"/>
  <c r="AA102"/>
  <c r="B102" i="11"/>
  <c r="AA101"/>
  <c r="AA102" i="12"/>
  <c r="B109" i="10"/>
  <c r="C103" i="9"/>
  <c r="AA102"/>
  <c r="B107"/>
  <c r="B114" i="7"/>
  <c r="C104"/>
  <c r="AA103"/>
  <c r="AA101" i="6"/>
  <c r="C102"/>
  <c r="B107" i="13" l="1"/>
  <c r="AA106"/>
  <c r="Y105"/>
  <c r="X105"/>
  <c r="X106" i="12"/>
  <c r="Y106"/>
  <c r="B103" i="11"/>
  <c r="AA102"/>
  <c r="C104" i="10"/>
  <c r="AA103"/>
  <c r="AA103" i="12"/>
  <c r="B110" i="10"/>
  <c r="C104" i="9"/>
  <c r="AA103"/>
  <c r="B108"/>
  <c r="B115" i="7"/>
  <c r="C105"/>
  <c r="AA104"/>
  <c r="AA102" i="6"/>
  <c r="C103"/>
  <c r="AA107" i="13" l="1"/>
  <c r="B108"/>
  <c r="Y106"/>
  <c r="X106"/>
  <c r="Y107" i="12"/>
  <c r="X107"/>
  <c r="AA104"/>
  <c r="AA103" i="11"/>
  <c r="B104"/>
  <c r="C105" i="10"/>
  <c r="AA104"/>
  <c r="B111"/>
  <c r="C105" i="9"/>
  <c r="AA104"/>
  <c r="B109"/>
  <c r="B116" i="7"/>
  <c r="C106"/>
  <c r="AA105"/>
  <c r="C104" i="6"/>
  <c r="AA103"/>
  <c r="B109" i="13" l="1"/>
  <c r="AA108"/>
  <c r="Y107"/>
  <c r="X107"/>
  <c r="Y108" i="12"/>
  <c r="X108"/>
  <c r="C106" i="10"/>
  <c r="AA105"/>
  <c r="AA105" i="12"/>
  <c r="AA104" i="11"/>
  <c r="B105"/>
  <c r="B112" i="10"/>
  <c r="C106" i="9"/>
  <c r="AA105"/>
  <c r="B110"/>
  <c r="C107" i="7"/>
  <c r="AA106"/>
  <c r="B117"/>
  <c r="AA104" i="6"/>
  <c r="C105"/>
  <c r="AA109" i="13" l="1"/>
  <c r="B110"/>
  <c r="Y108"/>
  <c r="X108"/>
  <c r="Y109" i="12"/>
  <c r="X109"/>
  <c r="C107" i="10"/>
  <c r="AA106"/>
  <c r="AA106" i="12"/>
  <c r="AA105" i="11"/>
  <c r="B106"/>
  <c r="B113" i="10"/>
  <c r="C107" i="9"/>
  <c r="AA106"/>
  <c r="B111"/>
  <c r="B118" i="7"/>
  <c r="C108"/>
  <c r="AA107"/>
  <c r="C106" i="6"/>
  <c r="AA105"/>
  <c r="B111" i="13" l="1"/>
  <c r="AA110"/>
  <c r="X109"/>
  <c r="Y109"/>
  <c r="X110" i="12"/>
  <c r="Y110"/>
  <c r="C108" i="10"/>
  <c r="AA107"/>
  <c r="B107" i="11"/>
  <c r="AA106"/>
  <c r="AA107" i="12"/>
  <c r="B114" i="10"/>
  <c r="C108" i="9"/>
  <c r="AA107"/>
  <c r="B112"/>
  <c r="B119" i="7"/>
  <c r="C109"/>
  <c r="AA108"/>
  <c r="AA106" i="6"/>
  <c r="C107"/>
  <c r="AA111" i="13" l="1"/>
  <c r="B112"/>
  <c r="Y110"/>
  <c r="X110"/>
  <c r="Y111" i="12"/>
  <c r="X111"/>
  <c r="C109" i="10"/>
  <c r="AA108"/>
  <c r="AA108" i="12"/>
  <c r="AA107" i="11"/>
  <c r="B108"/>
  <c r="B115" i="10"/>
  <c r="C109" i="9"/>
  <c r="AA108"/>
  <c r="B113"/>
  <c r="C110" i="7"/>
  <c r="AA109"/>
  <c r="B120"/>
  <c r="C108" i="6"/>
  <c r="AA107"/>
  <c r="AA112" i="13" l="1"/>
  <c r="B113"/>
  <c r="Y111"/>
  <c r="X111"/>
  <c r="X112" i="12"/>
  <c r="Y112"/>
  <c r="C110" i="10"/>
  <c r="AA109"/>
  <c r="AA108" i="11"/>
  <c r="B109"/>
  <c r="AA109" i="12"/>
  <c r="B116" i="10"/>
  <c r="C110" i="9"/>
  <c r="AA109"/>
  <c r="B114"/>
  <c r="B121" i="7"/>
  <c r="C111"/>
  <c r="AA110"/>
  <c r="C109" i="6"/>
  <c r="AA108"/>
  <c r="B114" i="13" l="1"/>
  <c r="AA113"/>
  <c r="X112"/>
  <c r="Y112"/>
  <c r="Y113" i="12"/>
  <c r="X113"/>
  <c r="C111" i="10"/>
  <c r="AA110"/>
  <c r="AA110" i="12"/>
  <c r="AA109" i="11"/>
  <c r="B110"/>
  <c r="B117" i="10"/>
  <c r="C111" i="9"/>
  <c r="AA110"/>
  <c r="B115"/>
  <c r="C112" i="7"/>
  <c r="AA111"/>
  <c r="B122"/>
  <c r="C110" i="6"/>
  <c r="AA109"/>
  <c r="B115" i="13" l="1"/>
  <c r="AA114"/>
  <c r="Y113"/>
  <c r="X113"/>
  <c r="Y114" i="12"/>
  <c r="X114"/>
  <c r="C112" i="10"/>
  <c r="AA111"/>
  <c r="B111" i="11"/>
  <c r="AA110"/>
  <c r="AA111" i="12"/>
  <c r="B118" i="10"/>
  <c r="C112" i="9"/>
  <c r="AA111"/>
  <c r="B116"/>
  <c r="B123" i="7"/>
  <c r="C113"/>
  <c r="AA112"/>
  <c r="C111" i="6"/>
  <c r="AA110"/>
  <c r="B116" i="13" l="1"/>
  <c r="AA115"/>
  <c r="Y114"/>
  <c r="X114"/>
  <c r="Y115" i="12"/>
  <c r="X115"/>
  <c r="C113" i="10"/>
  <c r="AA112"/>
  <c r="AA111" i="11"/>
  <c r="B112"/>
  <c r="AA112" i="12"/>
  <c r="B119" i="10"/>
  <c r="C113" i="9"/>
  <c r="AA112"/>
  <c r="B117"/>
  <c r="C114" i="7"/>
  <c r="AA113"/>
  <c r="B124"/>
  <c r="AA111" i="6"/>
  <c r="C112"/>
  <c r="AA116" i="13" l="1"/>
  <c r="B117"/>
  <c r="Y115"/>
  <c r="X115"/>
  <c r="Y116" i="12"/>
  <c r="X116"/>
  <c r="C114" i="10"/>
  <c r="AA113"/>
  <c r="AA113" i="12"/>
  <c r="AA112" i="11"/>
  <c r="B113"/>
  <c r="B120" i="10"/>
  <c r="C114" i="9"/>
  <c r="AA113"/>
  <c r="B118"/>
  <c r="B125" i="7"/>
  <c r="C115"/>
  <c r="AA114"/>
  <c r="C113" i="6"/>
  <c r="AA112"/>
  <c r="AA117" i="13" l="1"/>
  <c r="B118"/>
  <c r="Y116"/>
  <c r="X116"/>
  <c r="X117" i="12"/>
  <c r="Y117"/>
  <c r="C115" i="10"/>
  <c r="AA114"/>
  <c r="B114" i="11"/>
  <c r="AA113"/>
  <c r="AA114" i="12"/>
  <c r="B121" i="10"/>
  <c r="C115" i="9"/>
  <c r="AA114"/>
  <c r="B119"/>
  <c r="B126" i="7"/>
  <c r="C116"/>
  <c r="AA115"/>
  <c r="C114" i="6"/>
  <c r="AA113"/>
  <c r="AA118" i="13" l="1"/>
  <c r="B119"/>
  <c r="Y117"/>
  <c r="X117"/>
  <c r="Y118" i="12"/>
  <c r="X118"/>
  <c r="AA115"/>
  <c r="C116" i="10"/>
  <c r="AA115"/>
  <c r="AA114" i="11"/>
  <c r="B115"/>
  <c r="B122" i="10"/>
  <c r="C116" i="9"/>
  <c r="AA115"/>
  <c r="B120"/>
  <c r="B127" i="7"/>
  <c r="C117"/>
  <c r="AA116"/>
  <c r="AA114" i="6"/>
  <c r="C115"/>
  <c r="B120" i="13" l="1"/>
  <c r="AA119"/>
  <c r="X118"/>
  <c r="Y118"/>
  <c r="Y119" i="12"/>
  <c r="X119"/>
  <c r="AA115" i="11"/>
  <c r="B116"/>
  <c r="AA116" i="12"/>
  <c r="C117" i="10"/>
  <c r="AA116"/>
  <c r="B123"/>
  <c r="C117" i="9"/>
  <c r="AA116"/>
  <c r="B121"/>
  <c r="C118" i="7"/>
  <c r="AA117"/>
  <c r="B128"/>
  <c r="AA115" i="6"/>
  <c r="C116"/>
  <c r="B121" i="13" l="1"/>
  <c r="AA120"/>
  <c r="Y119"/>
  <c r="X119"/>
  <c r="Y120" i="12"/>
  <c r="X120"/>
  <c r="C118" i="10"/>
  <c r="AA117"/>
  <c r="B117" i="11"/>
  <c r="AA116"/>
  <c r="AA117" i="12"/>
  <c r="B124" i="10"/>
  <c r="C118" i="9"/>
  <c r="AA117"/>
  <c r="B122"/>
  <c r="C119" i="7"/>
  <c r="AA118"/>
  <c r="B129"/>
  <c r="C117" i="6"/>
  <c r="AA116"/>
  <c r="B122" i="13" l="1"/>
  <c r="AA121"/>
  <c r="Y120"/>
  <c r="X120"/>
  <c r="X121" i="12"/>
  <c r="Y121"/>
  <c r="C119" i="10"/>
  <c r="AA118"/>
  <c r="AA117" i="11"/>
  <c r="B118"/>
  <c r="AA118" i="12"/>
  <c r="B125" i="10"/>
  <c r="C119" i="9"/>
  <c r="AA118"/>
  <c r="B123"/>
  <c r="C120" i="7"/>
  <c r="AA119"/>
  <c r="B130"/>
  <c r="AA117" i="6"/>
  <c r="C118"/>
  <c r="B123" i="13" l="1"/>
  <c r="AA122"/>
  <c r="Y121"/>
  <c r="X121"/>
  <c r="Y122" i="12"/>
  <c r="X122"/>
  <c r="AA119"/>
  <c r="C120" i="10"/>
  <c r="AA119"/>
  <c r="B119" i="11"/>
  <c r="AA118"/>
  <c r="B126" i="10"/>
  <c r="C120" i="9"/>
  <c r="AA119"/>
  <c r="B124"/>
  <c r="B131" i="7"/>
  <c r="C121"/>
  <c r="AA120"/>
  <c r="AA118" i="6"/>
  <c r="C119"/>
  <c r="AA123" i="13" l="1"/>
  <c r="B124"/>
  <c r="Y122"/>
  <c r="X122"/>
  <c r="X123" i="12"/>
  <c r="Y123"/>
  <c r="C121" i="10"/>
  <c r="AA120"/>
  <c r="AA119" i="11"/>
  <c r="B120"/>
  <c r="AA120" i="12"/>
  <c r="B127" i="10"/>
  <c r="C121" i="9"/>
  <c r="AA120"/>
  <c r="B125"/>
  <c r="C122" i="7"/>
  <c r="AA121"/>
  <c r="B132"/>
  <c r="C120" i="6"/>
  <c r="AA119"/>
  <c r="B125" i="13" l="1"/>
  <c r="AA124"/>
  <c r="Y123"/>
  <c r="X123"/>
  <c r="Y124" i="12"/>
  <c r="X124"/>
  <c r="AA121"/>
  <c r="C122" i="10"/>
  <c r="AA121"/>
  <c r="AA120" i="11"/>
  <c r="B121"/>
  <c r="B128" i="10"/>
  <c r="C122" i="9"/>
  <c r="AA121"/>
  <c r="B126"/>
  <c r="C123" i="7"/>
  <c r="AA122"/>
  <c r="B133"/>
  <c r="C121" i="6"/>
  <c r="AA120"/>
  <c r="AA125" i="13" l="1"/>
  <c r="B126"/>
  <c r="Y124"/>
  <c r="X124"/>
  <c r="Y125" i="12"/>
  <c r="X125"/>
  <c r="C123" i="10"/>
  <c r="AA122"/>
  <c r="B122" i="11"/>
  <c r="AA121"/>
  <c r="AA122" i="12"/>
  <c r="B129" i="10"/>
  <c r="C123" i="9"/>
  <c r="AA122"/>
  <c r="B127"/>
  <c r="C124" i="7"/>
  <c r="AA123"/>
  <c r="B134"/>
  <c r="AA121" i="6"/>
  <c r="C122"/>
  <c r="AA122" s="1"/>
  <c r="AA126" i="13" l="1"/>
  <c r="B127"/>
  <c r="Y125"/>
  <c r="X125"/>
  <c r="Y126" i="12"/>
  <c r="X126"/>
  <c r="C124" i="10"/>
  <c r="AA123"/>
  <c r="AA123" i="12"/>
  <c r="AA122" i="11"/>
  <c r="B123"/>
  <c r="B130" i="10"/>
  <c r="C124" i="9"/>
  <c r="AA123"/>
  <c r="B128"/>
  <c r="C125" i="7"/>
  <c r="AA124"/>
  <c r="B135"/>
  <c r="B128" i="13" l="1"/>
  <c r="AA127"/>
  <c r="X126"/>
  <c r="Y126"/>
  <c r="Y127" i="12"/>
  <c r="X127"/>
  <c r="C125" i="10"/>
  <c r="AA124"/>
  <c r="AA123" i="11"/>
  <c r="B124"/>
  <c r="AA124" i="12"/>
  <c r="B131" i="10"/>
  <c r="C125" i="9"/>
  <c r="AA124"/>
  <c r="B129"/>
  <c r="C126" i="7"/>
  <c r="AA125"/>
  <c r="B136"/>
  <c r="B129" i="13" l="1"/>
  <c r="AA128"/>
  <c r="Y127"/>
  <c r="X127"/>
  <c r="Y128" i="12"/>
  <c r="X128"/>
  <c r="C126" i="10"/>
  <c r="AA125"/>
  <c r="AA125" i="12"/>
  <c r="AA124" i="11"/>
  <c r="B125"/>
  <c r="B132" i="10"/>
  <c r="C126" i="9"/>
  <c r="AA125"/>
  <c r="B130"/>
  <c r="C127" i="7"/>
  <c r="AA126"/>
  <c r="B137"/>
  <c r="B130" i="13" l="1"/>
  <c r="AA129"/>
  <c r="Y128"/>
  <c r="X128"/>
  <c r="Y129" i="12"/>
  <c r="X129"/>
  <c r="C127" i="10"/>
  <c r="AA126"/>
  <c r="AA125" i="11"/>
  <c r="B126"/>
  <c r="AA126" i="12"/>
  <c r="B133" i="10"/>
  <c r="C127" i="9"/>
  <c r="AA126"/>
  <c r="B131"/>
  <c r="C128" i="7"/>
  <c r="AA127"/>
  <c r="B138"/>
  <c r="AA130" i="13" l="1"/>
  <c r="B131"/>
  <c r="Y129"/>
  <c r="X129"/>
  <c r="Y130" i="12"/>
  <c r="X130"/>
  <c r="C128" i="10"/>
  <c r="AA127"/>
  <c r="AA127" i="12"/>
  <c r="B127" i="11"/>
  <c r="AA126"/>
  <c r="B134" i="10"/>
  <c r="C128" i="9"/>
  <c r="AA127"/>
  <c r="B132"/>
  <c r="C129" i="7"/>
  <c r="AA128"/>
  <c r="B139"/>
  <c r="AA131" i="13" l="1"/>
  <c r="B132"/>
  <c r="Y130"/>
  <c r="X130"/>
  <c r="X131" i="12"/>
  <c r="Y131"/>
  <c r="C129" i="10"/>
  <c r="AA128"/>
  <c r="AA128" i="12"/>
  <c r="AA127" i="11"/>
  <c r="B128"/>
  <c r="B135" i="10"/>
  <c r="C129" i="9"/>
  <c r="AA128"/>
  <c r="B133"/>
  <c r="B140" i="7"/>
  <c r="C130"/>
  <c r="AA129"/>
  <c r="B133" i="13" l="1"/>
  <c r="AA132"/>
  <c r="X131"/>
  <c r="Y131"/>
  <c r="X132" i="12"/>
  <c r="Y132"/>
  <c r="C130" i="10"/>
  <c r="AA129"/>
  <c r="B129" i="11"/>
  <c r="AA128"/>
  <c r="AA129" i="12"/>
  <c r="B136" i="10"/>
  <c r="C130" i="9"/>
  <c r="AA129"/>
  <c r="B134"/>
  <c r="C131" i="7"/>
  <c r="AA130"/>
  <c r="B141"/>
  <c r="Y132" i="13" l="1"/>
  <c r="X132"/>
  <c r="AA133"/>
  <c r="B134"/>
  <c r="Y133" i="12"/>
  <c r="X133"/>
  <c r="C131" i="10"/>
  <c r="AA130"/>
  <c r="AA129" i="11"/>
  <c r="B130"/>
  <c r="AA130" i="12"/>
  <c r="B137" i="10"/>
  <c r="C131" i="9"/>
  <c r="AA130"/>
  <c r="B135"/>
  <c r="C132" i="7"/>
  <c r="AA131"/>
  <c r="B142"/>
  <c r="Y133" i="13" l="1"/>
  <c r="X133"/>
  <c r="AA134"/>
  <c r="B135"/>
  <c r="Y134" i="12"/>
  <c r="X134"/>
  <c r="C132" i="10"/>
  <c r="AA131"/>
  <c r="AA131" i="12"/>
  <c r="B131" i="11"/>
  <c r="AA130"/>
  <c r="B138" i="10"/>
  <c r="C132" i="9"/>
  <c r="AA131"/>
  <c r="B136"/>
  <c r="B143" i="7"/>
  <c r="C133"/>
  <c r="AA132"/>
  <c r="Y134" i="13" l="1"/>
  <c r="X134"/>
  <c r="B136"/>
  <c r="AA135"/>
  <c r="Y135" i="12"/>
  <c r="X135"/>
  <c r="B132" i="11"/>
  <c r="AA131"/>
  <c r="C133" i="10"/>
  <c r="AA132"/>
  <c r="AA132" i="12"/>
  <c r="B139" i="10"/>
  <c r="C133" i="9"/>
  <c r="AA132"/>
  <c r="B137"/>
  <c r="C134" i="7"/>
  <c r="AA133"/>
  <c r="B144"/>
  <c r="B137" i="13" l="1"/>
  <c r="AA136"/>
  <c r="Y135"/>
  <c r="X135"/>
  <c r="Y136" i="12"/>
  <c r="X136"/>
  <c r="AA133"/>
  <c r="B133" i="11"/>
  <c r="AA132"/>
  <c r="C134" i="10"/>
  <c r="AA133"/>
  <c r="B140"/>
  <c r="C134" i="9"/>
  <c r="AA133"/>
  <c r="B138"/>
  <c r="B145" i="7"/>
  <c r="C135"/>
  <c r="AA134"/>
  <c r="AA137" i="13" l="1"/>
  <c r="B138"/>
  <c r="Y136"/>
  <c r="X136"/>
  <c r="Y137" i="12"/>
  <c r="X137"/>
  <c r="C135" i="10"/>
  <c r="AA134"/>
  <c r="AA134" i="12"/>
  <c r="AA133" i="11"/>
  <c r="B134"/>
  <c r="B141" i="10"/>
  <c r="C135" i="9"/>
  <c r="AA134"/>
  <c r="B139"/>
  <c r="C136" i="7"/>
  <c r="AA135"/>
  <c r="B146"/>
  <c r="B139" i="13" l="1"/>
  <c r="AA138"/>
  <c r="Y137"/>
  <c r="X137"/>
  <c r="Y138" i="12"/>
  <c r="X138"/>
  <c r="C136" i="10"/>
  <c r="AA135"/>
  <c r="AA135" i="12"/>
  <c r="AA134" i="11"/>
  <c r="B135"/>
  <c r="B142" i="10"/>
  <c r="C136" i="9"/>
  <c r="AA135"/>
  <c r="B140"/>
  <c r="B147" i="7"/>
  <c r="C137"/>
  <c r="AA136"/>
  <c r="B140" i="13" l="1"/>
  <c r="AA139"/>
  <c r="Y138"/>
  <c r="X138"/>
  <c r="Y139" i="12"/>
  <c r="X139"/>
  <c r="C137" i="10"/>
  <c r="AA136"/>
  <c r="B136" i="11"/>
  <c r="AA135"/>
  <c r="AA136" i="12"/>
  <c r="B143" i="10"/>
  <c r="C137" i="9"/>
  <c r="AA136"/>
  <c r="B141"/>
  <c r="C138" i="7"/>
  <c r="AA137"/>
  <c r="B148"/>
  <c r="AA140" i="13" l="1"/>
  <c r="B141"/>
  <c r="Y139"/>
  <c r="X139"/>
  <c r="Y140" i="12"/>
  <c r="X140"/>
  <c r="C138" i="10"/>
  <c r="AA137"/>
  <c r="B137" i="11"/>
  <c r="AA136"/>
  <c r="AA137" i="12"/>
  <c r="B144" i="10"/>
  <c r="C138" i="9"/>
  <c r="AA137"/>
  <c r="B142"/>
  <c r="C139" i="7"/>
  <c r="AA138"/>
  <c r="B149"/>
  <c r="B142" i="13" l="1"/>
  <c r="AA141"/>
  <c r="Y140"/>
  <c r="X140"/>
  <c r="Y141" i="12"/>
  <c r="X141"/>
  <c r="AA138"/>
  <c r="C139" i="10"/>
  <c r="AA138"/>
  <c r="B138" i="11"/>
  <c r="AA137"/>
  <c r="B145" i="10"/>
  <c r="C139" i="9"/>
  <c r="AA138"/>
  <c r="B143"/>
  <c r="B150" i="7"/>
  <c r="C140"/>
  <c r="AA139"/>
  <c r="AA142" i="13" l="1"/>
  <c r="B143"/>
  <c r="Y141"/>
  <c r="X141"/>
  <c r="Y142" i="12"/>
  <c r="X142"/>
  <c r="AA139"/>
  <c r="AA138" i="11"/>
  <c r="B139"/>
  <c r="C140" i="10"/>
  <c r="AA139"/>
  <c r="B146"/>
  <c r="C140" i="9"/>
  <c r="AA139"/>
  <c r="B144"/>
  <c r="C141" i="7"/>
  <c r="AA140"/>
  <c r="B151"/>
  <c r="B144" i="13" l="1"/>
  <c r="AA143"/>
  <c r="Y142"/>
  <c r="X142"/>
  <c r="Y143" i="12"/>
  <c r="X143"/>
  <c r="C141" i="10"/>
  <c r="AA140"/>
  <c r="AA140" i="12"/>
  <c r="AA139" i="11"/>
  <c r="B140"/>
  <c r="B147" i="10"/>
  <c r="C141" i="9"/>
  <c r="AA140"/>
  <c r="B145"/>
  <c r="C142" i="7"/>
  <c r="AA141"/>
  <c r="B152"/>
  <c r="AA144" i="13" l="1"/>
  <c r="B145"/>
  <c r="Y143"/>
  <c r="X143"/>
  <c r="Y144" i="12"/>
  <c r="X144"/>
  <c r="C142" i="10"/>
  <c r="AA141"/>
  <c r="AA141" i="12"/>
  <c r="B141" i="11"/>
  <c r="AA140"/>
  <c r="B148" i="10"/>
  <c r="C142" i="9"/>
  <c r="AA141"/>
  <c r="B146"/>
  <c r="B153" i="7"/>
  <c r="C143"/>
  <c r="AA142"/>
  <c r="AA145" i="13" l="1"/>
  <c r="B146"/>
  <c r="Y144"/>
  <c r="X144"/>
  <c r="X145" i="12"/>
  <c r="Y145"/>
  <c r="B142" i="11"/>
  <c r="AA141"/>
  <c r="C143" i="10"/>
  <c r="AA142"/>
  <c r="AA142" i="12"/>
  <c r="B149" i="10"/>
  <c r="C143" i="9"/>
  <c r="AA142"/>
  <c r="B147"/>
  <c r="C144" i="7"/>
  <c r="AA143"/>
  <c r="B154"/>
  <c r="B147" i="13" l="1"/>
  <c r="AA146"/>
  <c r="X145"/>
  <c r="Y145"/>
  <c r="Y146" i="12"/>
  <c r="X146"/>
  <c r="AA143"/>
  <c r="AA142" i="11"/>
  <c r="B143"/>
  <c r="C144" i="10"/>
  <c r="AA143"/>
  <c r="B150"/>
  <c r="C144" i="9"/>
  <c r="AA143"/>
  <c r="B148"/>
  <c r="C145" i="7"/>
  <c r="AA144"/>
  <c r="B155"/>
  <c r="Y146" i="13" l="1"/>
  <c r="X146"/>
  <c r="AA147"/>
  <c r="B148"/>
  <c r="Y147" i="12"/>
  <c r="X147"/>
  <c r="C145" i="10"/>
  <c r="AA144"/>
  <c r="AA144" i="12"/>
  <c r="B144" i="11"/>
  <c r="AA143"/>
  <c r="B151" i="10"/>
  <c r="C145" i="9"/>
  <c r="AA144"/>
  <c r="B149"/>
  <c r="C146" i="7"/>
  <c r="AA145"/>
  <c r="B156"/>
  <c r="Y147" i="13" l="1"/>
  <c r="X147"/>
  <c r="AA148"/>
  <c r="B149"/>
  <c r="Y148" i="12"/>
  <c r="X148"/>
  <c r="AA144" i="11"/>
  <c r="B145"/>
  <c r="C146" i="10"/>
  <c r="AA145"/>
  <c r="AA145" i="12"/>
  <c r="B152" i="10"/>
  <c r="C146" i="9"/>
  <c r="AA145"/>
  <c r="B150"/>
  <c r="B157" i="7"/>
  <c r="C147"/>
  <c r="AA146"/>
  <c r="X148" i="13" l="1"/>
  <c r="Y148"/>
  <c r="B150"/>
  <c r="AA149"/>
  <c r="Y149" i="12"/>
  <c r="X149"/>
  <c r="AA146"/>
  <c r="C147" i="10"/>
  <c r="AA146"/>
  <c r="B146" i="11"/>
  <c r="AA145"/>
  <c r="B153" i="10"/>
  <c r="C147" i="9"/>
  <c r="AA146"/>
  <c r="B151"/>
  <c r="B158" i="7"/>
  <c r="C148"/>
  <c r="AA147"/>
  <c r="Y149" i="13" l="1"/>
  <c r="X149"/>
  <c r="AA150"/>
  <c r="B151"/>
  <c r="Y150" i="12"/>
  <c r="X150"/>
  <c r="AA147"/>
  <c r="C148" i="10"/>
  <c r="AA147"/>
  <c r="B147" i="11"/>
  <c r="AA146"/>
  <c r="B154" i="10"/>
  <c r="C148" i="9"/>
  <c r="AA147"/>
  <c r="B152"/>
  <c r="B159" i="7"/>
  <c r="C149"/>
  <c r="AA148"/>
  <c r="Y150" i="13" l="1"/>
  <c r="X150"/>
  <c r="B152"/>
  <c r="AA151"/>
  <c r="X151" i="12"/>
  <c r="Y151"/>
  <c r="AA147" i="11"/>
  <c r="B148"/>
  <c r="C149" i="10"/>
  <c r="AA148"/>
  <c r="AA148" i="12"/>
  <c r="B155" i="10"/>
  <c r="C149" i="9"/>
  <c r="AA148"/>
  <c r="B153"/>
  <c r="C150" i="7"/>
  <c r="AA149"/>
  <c r="B160"/>
  <c r="Y151" i="13" l="1"/>
  <c r="X151"/>
  <c r="AA152"/>
  <c r="B153"/>
  <c r="Y152" i="12"/>
  <c r="X152"/>
  <c r="AA149"/>
  <c r="C150" i="10"/>
  <c r="AA149"/>
  <c r="B149" i="11"/>
  <c r="AA148"/>
  <c r="B156" i="10"/>
  <c r="C150" i="9"/>
  <c r="AA149"/>
  <c r="B154"/>
  <c r="C151" i="7"/>
  <c r="AA150"/>
  <c r="B161"/>
  <c r="Y152" i="13" l="1"/>
  <c r="X152"/>
  <c r="AA153"/>
  <c r="B154"/>
  <c r="Y153" i="12"/>
  <c r="X153"/>
  <c r="AA149" i="11"/>
  <c r="B150"/>
  <c r="C151" i="10"/>
  <c r="AA150"/>
  <c r="AA150" i="12"/>
  <c r="B157" i="10"/>
  <c r="C151" i="9"/>
  <c r="AA150"/>
  <c r="B155"/>
  <c r="C152" i="7"/>
  <c r="AA151"/>
  <c r="X153" i="13" l="1"/>
  <c r="Y153"/>
  <c r="B155"/>
  <c r="AA154"/>
  <c r="X154" i="12"/>
  <c r="Y154"/>
  <c r="AA151"/>
  <c r="C152" i="10"/>
  <c r="AA151"/>
  <c r="B151" i="11"/>
  <c r="AA150"/>
  <c r="B158" i="10"/>
  <c r="C152" i="9"/>
  <c r="AA151"/>
  <c r="B156"/>
  <c r="C153" i="7"/>
  <c r="AA152"/>
  <c r="AA155" i="13" l="1"/>
  <c r="B156"/>
  <c r="Y154"/>
  <c r="X154"/>
  <c r="Y155" i="12"/>
  <c r="X155"/>
  <c r="AA151" i="11"/>
  <c r="B152"/>
  <c r="AA152" i="12"/>
  <c r="C153" i="10"/>
  <c r="AA152"/>
  <c r="B159"/>
  <c r="C153" i="9"/>
  <c r="AA152"/>
  <c r="C154" i="7"/>
  <c r="AA153"/>
  <c r="AA156" i="13" l="1"/>
  <c r="B157"/>
  <c r="Y155"/>
  <c r="X155"/>
  <c r="Y156" i="12"/>
  <c r="X156"/>
  <c r="C154" i="10"/>
  <c r="AA153"/>
  <c r="AA152" i="11"/>
  <c r="B153"/>
  <c r="AA153" i="12"/>
  <c r="B160" i="10"/>
  <c r="C154" i="9"/>
  <c r="AA153"/>
  <c r="C155" i="7"/>
  <c r="AA154"/>
  <c r="B158" i="13" l="1"/>
  <c r="AA157"/>
  <c r="X156"/>
  <c r="Y156"/>
  <c r="Y157" i="12"/>
  <c r="X157"/>
  <c r="AA154"/>
  <c r="C155" i="10"/>
  <c r="AA154"/>
  <c r="B154" i="11"/>
  <c r="AA153"/>
  <c r="B161" i="10"/>
  <c r="C155" i="9"/>
  <c r="AA154"/>
  <c r="C156" i="7"/>
  <c r="AA155"/>
  <c r="AA158" i="13" l="1"/>
  <c r="B159"/>
  <c r="AA159" s="1"/>
  <c r="Y157"/>
  <c r="X157"/>
  <c r="Y158" i="12"/>
  <c r="X158"/>
  <c r="B155" i="11"/>
  <c r="AA154"/>
  <c r="C156" i="10"/>
  <c r="AA155"/>
  <c r="AA155" i="12"/>
  <c r="B162" i="10"/>
  <c r="C156" i="9"/>
  <c r="AA156" s="1"/>
  <c r="AA155"/>
  <c r="C157" i="7"/>
  <c r="AA156"/>
  <c r="Y158" i="13" l="1"/>
  <c r="X158"/>
  <c r="Y159" i="12"/>
  <c r="X159"/>
  <c r="AA156"/>
  <c r="B156" i="11"/>
  <c r="AA155"/>
  <c r="C157" i="10"/>
  <c r="AA156"/>
  <c r="B163"/>
  <c r="C158" i="7"/>
  <c r="AA157"/>
  <c r="Y159" i="13" l="1"/>
  <c r="X159"/>
  <c r="Y160" i="12"/>
  <c r="X160"/>
  <c r="C158" i="10"/>
  <c r="AA157"/>
  <c r="B157" i="11"/>
  <c r="AA156"/>
  <c r="AA157" i="12"/>
  <c r="B164" i="10"/>
  <c r="C159" i="7"/>
  <c r="AA158"/>
  <c r="Y161" i="12" l="1"/>
  <c r="X161"/>
  <c r="AA158"/>
  <c r="C159" i="10"/>
  <c r="AA158"/>
  <c r="AA157" i="11"/>
  <c r="B158"/>
  <c r="B165" i="10"/>
  <c r="C160" i="7"/>
  <c r="AA159"/>
  <c r="X162" i="12" l="1"/>
  <c r="Y162"/>
  <c r="AA159"/>
  <c r="AA158" i="11"/>
  <c r="B159"/>
  <c r="C160" i="10"/>
  <c r="AA159"/>
  <c r="C161" i="7"/>
  <c r="AA161" s="1"/>
  <c r="AA160"/>
  <c r="Y163" i="12" l="1"/>
  <c r="X163"/>
  <c r="C161" i="10"/>
  <c r="AA160"/>
  <c r="AA161" i="12"/>
  <c r="AA160"/>
  <c r="AA159" i="11"/>
  <c r="B160"/>
  <c r="Y164" i="12" l="1"/>
  <c r="X164"/>
  <c r="C162" i="10"/>
  <c r="AA161"/>
  <c r="AA160" i="11"/>
  <c r="B161"/>
  <c r="AA161" s="1"/>
  <c r="Y165" i="12" l="1"/>
  <c r="X165"/>
  <c r="C163" i="10"/>
  <c r="AA162"/>
  <c r="Y166" i="12" l="1"/>
  <c r="X166"/>
  <c r="C164" i="10"/>
  <c r="AA163"/>
  <c r="Y167" i="12" l="1"/>
  <c r="X167"/>
  <c r="C165" i="10"/>
  <c r="AA165" s="1"/>
  <c r="AA164"/>
  <c r="Y168" i="12" l="1"/>
  <c r="X168"/>
  <c r="Y169" l="1"/>
  <c r="X169"/>
  <c r="Y170" l="1"/>
  <c r="X170"/>
  <c r="Y171" l="1"/>
  <c r="X171"/>
</calcChain>
</file>

<file path=xl/sharedStrings.xml><?xml version="1.0" encoding="utf-8"?>
<sst xmlns="http://schemas.openxmlformats.org/spreadsheetml/2006/main" count="3591" uniqueCount="252">
  <si>
    <t>ファイア</t>
  </si>
  <si>
    <t>ファイア</t>
    <phoneticPr fontId="1"/>
  </si>
  <si>
    <t>ファイラ</t>
  </si>
  <si>
    <t>ファイガ</t>
  </si>
  <si>
    <t>ファイガ</t>
    <phoneticPr fontId="1"/>
  </si>
  <si>
    <t>ファイジャ</t>
  </si>
  <si>
    <t>ファイジャ</t>
    <phoneticPr fontId="1"/>
  </si>
  <si>
    <t>ブリザド</t>
  </si>
  <si>
    <t>ブリザラ</t>
  </si>
  <si>
    <t>フレア</t>
  </si>
  <si>
    <t>フレア</t>
    <phoneticPr fontId="1"/>
  </si>
  <si>
    <t>ブリザガ</t>
  </si>
  <si>
    <t>ブリザガ</t>
    <phoneticPr fontId="1"/>
  </si>
  <si>
    <t>ブリザジャ</t>
  </si>
  <si>
    <t>ブリザジャ</t>
    <phoneticPr fontId="1"/>
  </si>
  <si>
    <t>フリーズ</t>
  </si>
  <si>
    <t>サンダー</t>
  </si>
  <si>
    <t>サンダー</t>
    <phoneticPr fontId="1"/>
  </si>
  <si>
    <t>サンダラ</t>
  </si>
  <si>
    <t>サンダラ</t>
    <phoneticPr fontId="1"/>
  </si>
  <si>
    <t>サンダガ</t>
  </si>
  <si>
    <t>サンダガ</t>
    <phoneticPr fontId="1"/>
  </si>
  <si>
    <t>消費MP</t>
    <rPh sb="0" eb="2">
      <t>ショウヒ</t>
    </rPh>
    <phoneticPr fontId="1"/>
  </si>
  <si>
    <t>基本データ</t>
    <rPh sb="0" eb="2">
      <t>キホン</t>
    </rPh>
    <phoneticPr fontId="1"/>
  </si>
  <si>
    <t>ファイア系</t>
    <rPh sb="4" eb="5">
      <t>ケイ</t>
    </rPh>
    <phoneticPr fontId="1"/>
  </si>
  <si>
    <t>ブリザド系</t>
    <rPh sb="4" eb="5">
      <t>ケイ</t>
    </rPh>
    <phoneticPr fontId="1"/>
  </si>
  <si>
    <t>サンダー系</t>
    <rPh sb="4" eb="5">
      <t>ケイ</t>
    </rPh>
    <phoneticPr fontId="1"/>
  </si>
  <si>
    <t>消費MP倍率</t>
    <rPh sb="0" eb="2">
      <t>ショウヒ</t>
    </rPh>
    <rPh sb="4" eb="6">
      <t>バイリツ</t>
    </rPh>
    <phoneticPr fontId="1"/>
  </si>
  <si>
    <t>基礎倍率</t>
    <rPh sb="0" eb="4">
      <t>キソバイリツ</t>
    </rPh>
    <phoneticPr fontId="1"/>
  </si>
  <si>
    <t>MP基礎値</t>
    <rPh sb="2" eb="5">
      <t>キソチ</t>
    </rPh>
    <phoneticPr fontId="1"/>
  </si>
  <si>
    <t>推定</t>
    <rPh sb="0" eb="2">
      <t>スイテイ</t>
    </rPh>
    <phoneticPr fontId="1"/>
  </si>
  <si>
    <t>推定Lv60</t>
    <rPh sb="0" eb="2">
      <t>スイテイ</t>
    </rPh>
    <phoneticPr fontId="1"/>
  </si>
  <si>
    <t>Skill</t>
    <phoneticPr fontId="1"/>
  </si>
  <si>
    <t>威力</t>
    <rPh sb="0" eb="2">
      <t>イリョク</t>
    </rPh>
    <phoneticPr fontId="1"/>
  </si>
  <si>
    <t>基礎威力</t>
    <rPh sb="0" eb="2">
      <t>キソ</t>
    </rPh>
    <rPh sb="2" eb="4">
      <t>イリョク</t>
    </rPh>
    <phoneticPr fontId="1"/>
  </si>
  <si>
    <t>威力倍率</t>
    <rPh sb="0" eb="2">
      <t>イリョク</t>
    </rPh>
    <rPh sb="2" eb="4">
      <t>バイリツ</t>
    </rPh>
    <phoneticPr fontId="1"/>
  </si>
  <si>
    <t>ダメージ値</t>
    <rPh sb="4" eb="5">
      <t>アタイ</t>
    </rPh>
    <phoneticPr fontId="1"/>
  </si>
  <si>
    <t>DOT威力</t>
    <rPh sb="3" eb="5">
      <t>イリョク</t>
    </rPh>
    <phoneticPr fontId="1"/>
  </si>
  <si>
    <t>効果秒数</t>
    <rPh sb="0" eb="4">
      <t>コウカビョウスウ</t>
    </rPh>
    <phoneticPr fontId="1"/>
  </si>
  <si>
    <t>秒間隔</t>
    <rPh sb="0" eb="3">
      <t>ビョウカンカク</t>
    </rPh>
    <phoneticPr fontId="1"/>
  </si>
  <si>
    <t>発生回数</t>
    <rPh sb="0" eb="4">
      <t>ハッセイカイスウ</t>
    </rPh>
    <phoneticPr fontId="1"/>
  </si>
  <si>
    <t>DOT</t>
    <phoneticPr fontId="1"/>
  </si>
  <si>
    <t>DOT合計</t>
    <rPh sb="3" eb="5">
      <t>ゴウケイ</t>
    </rPh>
    <phoneticPr fontId="1"/>
  </si>
  <si>
    <t>着弾</t>
    <rPh sb="0" eb="2">
      <t>チャクダン</t>
    </rPh>
    <phoneticPr fontId="1"/>
  </si>
  <si>
    <t>着弾威力</t>
    <rPh sb="0" eb="4">
      <t>チャクダンイリョク</t>
    </rPh>
    <phoneticPr fontId="1"/>
  </si>
  <si>
    <t>合計</t>
    <rPh sb="0" eb="2">
      <t>ゴウケイ</t>
    </rPh>
    <phoneticPr fontId="1"/>
  </si>
  <si>
    <t>詠唱時間</t>
    <rPh sb="0" eb="4">
      <t>エイショウジカン</t>
    </rPh>
    <phoneticPr fontId="1"/>
  </si>
  <si>
    <t>標準</t>
    <rPh sb="0" eb="2">
      <t>ヒョウジュン</t>
    </rPh>
    <phoneticPr fontId="1"/>
  </si>
  <si>
    <t>詠唱倍率</t>
    <rPh sb="0" eb="4">
      <t>エイショウバイリツ</t>
    </rPh>
    <phoneticPr fontId="1"/>
  </si>
  <si>
    <t>基礎GCD</t>
    <rPh sb="0" eb="2">
      <t>キソ</t>
    </rPh>
    <phoneticPr fontId="1"/>
  </si>
  <si>
    <t>推定GCD</t>
    <rPh sb="0" eb="2">
      <t>スイテイ</t>
    </rPh>
    <phoneticPr fontId="1"/>
  </si>
  <si>
    <t>黒魔紋</t>
  </si>
  <si>
    <t>黒魔紋</t>
    <rPh sb="0" eb="1">
      <t>クロ</t>
    </rPh>
    <rPh sb="1" eb="2">
      <t>マ</t>
    </rPh>
    <rPh sb="2" eb="3">
      <t>モン</t>
    </rPh>
    <phoneticPr fontId="1"/>
  </si>
  <si>
    <t>(15%加速)</t>
    <rPh sb="4" eb="6">
      <t>カソク</t>
    </rPh>
    <phoneticPr fontId="1"/>
  </si>
  <si>
    <t>GCD適用</t>
    <rPh sb="3" eb="5">
      <t>テキヨウ</t>
    </rPh>
    <phoneticPr fontId="1"/>
  </si>
  <si>
    <t>黒魔紋GCD</t>
    <rPh sb="0" eb="1">
      <t>クロ</t>
    </rPh>
    <rPh sb="1" eb="2">
      <t>マ</t>
    </rPh>
    <rPh sb="2" eb="3">
      <t>モン</t>
    </rPh>
    <phoneticPr fontId="1"/>
  </si>
  <si>
    <t>UB</t>
    <phoneticPr fontId="1"/>
  </si>
  <si>
    <t>I</t>
    <phoneticPr fontId="1"/>
  </si>
  <si>
    <t>II</t>
    <phoneticPr fontId="1"/>
  </si>
  <si>
    <t>III</t>
    <phoneticPr fontId="1"/>
  </si>
  <si>
    <t>Skill</t>
    <phoneticPr fontId="1"/>
  </si>
  <si>
    <t>None</t>
    <phoneticPr fontId="1"/>
  </si>
  <si>
    <t>AF</t>
    <phoneticPr fontId="1"/>
  </si>
  <si>
    <t>ファイア</t>
    <phoneticPr fontId="1"/>
  </si>
  <si>
    <t>ファイラ</t>
    <phoneticPr fontId="1"/>
  </si>
  <si>
    <t>ファイガ</t>
    <phoneticPr fontId="1"/>
  </si>
  <si>
    <t>ファイジャ</t>
    <phoneticPr fontId="1"/>
  </si>
  <si>
    <t>フレア</t>
    <phoneticPr fontId="1"/>
  </si>
  <si>
    <t>ブリザド</t>
    <phoneticPr fontId="1"/>
  </si>
  <si>
    <t>ブリザラ</t>
    <phoneticPr fontId="1"/>
  </si>
  <si>
    <t>ブリザガ</t>
    <phoneticPr fontId="1"/>
  </si>
  <si>
    <t>ブリザジャ</t>
    <phoneticPr fontId="1"/>
  </si>
  <si>
    <t>フリーズ</t>
    <phoneticPr fontId="1"/>
  </si>
  <si>
    <t>サンダー</t>
    <phoneticPr fontId="1"/>
  </si>
  <si>
    <t>サンダラ</t>
    <phoneticPr fontId="1"/>
  </si>
  <si>
    <t>サンダガ</t>
    <phoneticPr fontId="1"/>
  </si>
  <si>
    <t>Lv50</t>
    <phoneticPr fontId="1"/>
  </si>
  <si>
    <t>+黒魔紋</t>
    <phoneticPr fontId="1"/>
  </si>
  <si>
    <t>詠唱時間効率計算(1秒あたりの威力値)※ただしGCDより短いものは別計算式</t>
    <rPh sb="0" eb="2">
      <t>エイショウ</t>
    </rPh>
    <rPh sb="2" eb="4">
      <t>ジカン</t>
    </rPh>
    <rPh sb="4" eb="8">
      <t>コウリツケイサン</t>
    </rPh>
    <rPh sb="10" eb="11">
      <t>ビョウ</t>
    </rPh>
    <rPh sb="15" eb="17">
      <t>イリョク</t>
    </rPh>
    <rPh sb="17" eb="18">
      <t>アタイ</t>
    </rPh>
    <rPh sb="28" eb="29">
      <t>ミジカ</t>
    </rPh>
    <rPh sb="33" eb="34">
      <t>ベツ</t>
    </rPh>
    <rPh sb="34" eb="36">
      <t>ケイサン</t>
    </rPh>
    <rPh sb="36" eb="37">
      <t>シキ</t>
    </rPh>
    <phoneticPr fontId="1"/>
  </si>
  <si>
    <t>←無駄なくDOTを使った場合のみ</t>
    <rPh sb="1" eb="3">
      <t>ムダ</t>
    </rPh>
    <rPh sb="9" eb="10">
      <t>ツカ</t>
    </rPh>
    <rPh sb="12" eb="14">
      <t>バアイ</t>
    </rPh>
    <phoneticPr fontId="1"/>
  </si>
  <si>
    <t>Procによる効率変化</t>
    <rPh sb="7" eb="11">
      <t>コウリツヘンカ</t>
    </rPh>
    <phoneticPr fontId="1"/>
  </si>
  <si>
    <t>発生確率</t>
    <rPh sb="0" eb="4">
      <t>ハッセイカクリツ</t>
    </rPh>
    <phoneticPr fontId="1"/>
  </si>
  <si>
    <t>発生時威力</t>
    <rPh sb="0" eb="3">
      <t>ハッセイジ</t>
    </rPh>
    <rPh sb="3" eb="5">
      <t>イリョク</t>
    </rPh>
    <phoneticPr fontId="1"/>
  </si>
  <si>
    <t>AFIII</t>
  </si>
  <si>
    <t>AFIII</t>
    <phoneticPr fontId="1"/>
  </si>
  <si>
    <t>発生時CT</t>
    <rPh sb="0" eb="3">
      <t>ハッセイジ</t>
    </rPh>
    <phoneticPr fontId="1"/>
  </si>
  <si>
    <t>-</t>
    <phoneticPr fontId="1"/>
  </si>
  <si>
    <t>黒魔紋</t>
    <rPh sb="0" eb="1">
      <t>クロ</t>
    </rPh>
    <rPh sb="1" eb="2">
      <t>バ</t>
    </rPh>
    <rPh sb="2" eb="3">
      <t>モン</t>
    </rPh>
    <phoneticPr fontId="1"/>
  </si>
  <si>
    <t>秒威力</t>
    <rPh sb="0" eb="3">
      <t>ビョウイリョク</t>
    </rPh>
    <phoneticPr fontId="1"/>
  </si>
  <si>
    <t>合算</t>
    <rPh sb="0" eb="2">
      <t>ガッサン</t>
    </rPh>
    <phoneticPr fontId="1"/>
  </si>
  <si>
    <t>詠唱回数</t>
    <rPh sb="0" eb="4">
      <t>エイショウカイスウ</t>
    </rPh>
    <phoneticPr fontId="1"/>
  </si>
  <si>
    <t>1発換算</t>
    <rPh sb="1" eb="2">
      <t>ハツ</t>
    </rPh>
    <rPh sb="2" eb="4">
      <t>カンサン</t>
    </rPh>
    <phoneticPr fontId="1"/>
  </si>
  <si>
    <t>1秒換算</t>
    <rPh sb="1" eb="2">
      <t>ビョウ</t>
    </rPh>
    <rPh sb="2" eb="4">
      <t>カンサン</t>
    </rPh>
    <phoneticPr fontId="1"/>
  </si>
  <si>
    <t>TRAITS
倍率</t>
    <rPh sb="7" eb="9">
      <t>バイリツ</t>
    </rPh>
    <phoneticPr fontId="1"/>
  </si>
  <si>
    <t>TRAITS
加速</t>
    <rPh sb="7" eb="9">
      <t>カソク</t>
    </rPh>
    <phoneticPr fontId="1"/>
  </si>
  <si>
    <t>猛者</t>
  </si>
  <si>
    <t>猛者</t>
    <rPh sb="0" eb="2">
      <t>モサ</t>
    </rPh>
    <phoneticPr fontId="1"/>
  </si>
  <si>
    <t>静者</t>
    <rPh sb="0" eb="1">
      <t>シズ</t>
    </rPh>
    <rPh sb="1" eb="2">
      <t>モノ</t>
    </rPh>
    <phoneticPr fontId="1"/>
  </si>
  <si>
    <t>CT</t>
    <phoneticPr fontId="1"/>
  </si>
  <si>
    <t>コンバート</t>
  </si>
  <si>
    <t>コンバート</t>
    <phoneticPr fontId="1"/>
  </si>
  <si>
    <t>迅速</t>
  </si>
  <si>
    <t>迅速</t>
    <rPh sb="0" eb="2">
      <t>ジンソク</t>
    </rPh>
    <phoneticPr fontId="1"/>
  </si>
  <si>
    <t>激成魔</t>
    <rPh sb="0" eb="2">
      <t>ゲキセイ</t>
    </rPh>
    <rPh sb="2" eb="3">
      <t>バ</t>
    </rPh>
    <phoneticPr fontId="1"/>
  </si>
  <si>
    <t>エノキアン</t>
  </si>
  <si>
    <t>エノキアン</t>
    <phoneticPr fontId="1"/>
  </si>
  <si>
    <t>効果</t>
    <rPh sb="0" eb="2">
      <t>コウカ</t>
    </rPh>
    <phoneticPr fontId="1"/>
  </si>
  <si>
    <t>Name</t>
    <phoneticPr fontId="1"/>
  </si>
  <si>
    <t>Time</t>
    <phoneticPr fontId="1"/>
  </si>
  <si>
    <t>Time</t>
    <phoneticPr fontId="1"/>
  </si>
  <si>
    <t>Use</t>
    <phoneticPr fontId="1"/>
  </si>
  <si>
    <t>Back</t>
    <phoneticPr fontId="1"/>
  </si>
  <si>
    <t>Buff/Ability</t>
    <phoneticPr fontId="1"/>
  </si>
  <si>
    <t>GCD</t>
    <phoneticPr fontId="1"/>
  </si>
  <si>
    <t>PIE</t>
    <phoneticPr fontId="1"/>
  </si>
  <si>
    <t>補正PIE</t>
    <rPh sb="0" eb="2">
      <t>ホセイ</t>
    </rPh>
    <phoneticPr fontId="1"/>
  </si>
  <si>
    <t>クラス補正</t>
    <rPh sb="3" eb="5">
      <t>ホセイ</t>
    </rPh>
    <phoneticPr fontId="1"/>
  </si>
  <si>
    <t>MP基礎</t>
    <rPh sb="2" eb="4">
      <t>キソ</t>
    </rPh>
    <phoneticPr fontId="1"/>
  </si>
  <si>
    <t>ステータスA</t>
    <phoneticPr fontId="1"/>
  </si>
  <si>
    <t>Cast</t>
    <phoneticPr fontId="1"/>
  </si>
  <si>
    <t>15％+</t>
    <phoneticPr fontId="1"/>
  </si>
  <si>
    <t>UBIII</t>
  </si>
  <si>
    <t>UBIII</t>
    <phoneticPr fontId="1"/>
  </si>
  <si>
    <t>←コンバ回復</t>
    <rPh sb="4" eb="6">
      <t>カイフク</t>
    </rPh>
    <phoneticPr fontId="1"/>
  </si>
  <si>
    <t>←UBIII回復</t>
    <rPh sb="6" eb="8">
      <t>カイフク</t>
    </rPh>
    <phoneticPr fontId="1"/>
  </si>
  <si>
    <t>AFIII</t>
    <phoneticPr fontId="1"/>
  </si>
  <si>
    <t>フィジカル</t>
    <phoneticPr fontId="1"/>
  </si>
  <si>
    <t>Duration</t>
    <phoneticPr fontId="1"/>
  </si>
  <si>
    <t>ファイア+</t>
    <phoneticPr fontId="1"/>
  </si>
  <si>
    <t>ファイガ+</t>
    <phoneticPr fontId="1"/>
  </si>
  <si>
    <t>激成</t>
  </si>
  <si>
    <t>激成</t>
    <rPh sb="0" eb="2">
      <t>ゲキセイ</t>
    </rPh>
    <phoneticPr fontId="1"/>
  </si>
  <si>
    <t>ここからコピーする</t>
    <phoneticPr fontId="1"/>
  </si>
  <si>
    <t>激成</t>
    <rPh sb="0" eb="1">
      <t>ゲキ</t>
    </rPh>
    <rPh sb="1" eb="2">
      <t>ナリ</t>
    </rPh>
    <phoneticPr fontId="1"/>
  </si>
  <si>
    <t>この列コピーしたらダメ</t>
    <rPh sb="2" eb="3">
      <t>レツ</t>
    </rPh>
    <phoneticPr fontId="1"/>
  </si>
  <si>
    <t>迅速明け</t>
    <rPh sb="0" eb="2">
      <t>ジンソク</t>
    </rPh>
    <rPh sb="2" eb="3">
      <t>ア</t>
    </rPh>
    <phoneticPr fontId="1"/>
  </si>
  <si>
    <t>激成明け</t>
    <rPh sb="0" eb="2">
      <t>ゲキセイ</t>
    </rPh>
    <rPh sb="2" eb="3">
      <t>ア</t>
    </rPh>
    <phoneticPr fontId="1"/>
  </si>
  <si>
    <t>ファイア+</t>
    <phoneticPr fontId="1"/>
  </si>
  <si>
    <t>エノキ明け</t>
    <rPh sb="3" eb="4">
      <t>ア</t>
    </rPh>
    <phoneticPr fontId="1"/>
  </si>
  <si>
    <t>猛者終</t>
  </si>
  <si>
    <t>猛者終</t>
    <rPh sb="0" eb="2">
      <t>モサ</t>
    </rPh>
    <rPh sb="2" eb="3">
      <t>オワリ</t>
    </rPh>
    <phoneticPr fontId="1"/>
  </si>
  <si>
    <t>黒魔紋明け</t>
    <rPh sb="0" eb="1">
      <t>クロ</t>
    </rPh>
    <rPh sb="1" eb="2">
      <t>マ</t>
    </rPh>
    <rPh sb="2" eb="3">
      <t>モン</t>
    </rPh>
    <rPh sb="3" eb="4">
      <t>ア</t>
    </rPh>
    <phoneticPr fontId="1"/>
  </si>
  <si>
    <t>エノキCheck</t>
    <phoneticPr fontId="1"/>
  </si>
  <si>
    <t>MPCheck</t>
    <phoneticPr fontId="1"/>
  </si>
  <si>
    <t>フィジカルPIE</t>
    <phoneticPr fontId="1"/>
  </si>
  <si>
    <t>合計PIE</t>
    <rPh sb="0" eb="2">
      <t>ゴウケイ</t>
    </rPh>
    <phoneticPr fontId="1"/>
  </si>
  <si>
    <t>基礎PIE</t>
    <rPh sb="0" eb="2">
      <t>キソ</t>
    </rPh>
    <phoneticPr fontId="1"/>
  </si>
  <si>
    <t>ファイガ</t>
    <phoneticPr fontId="1"/>
  </si>
  <si>
    <t>ファイジャ</t>
    <phoneticPr fontId="1"/>
  </si>
  <si>
    <t>ファイア</t>
    <phoneticPr fontId="1"/>
  </si>
  <si>
    <t>ファイジャ</t>
    <phoneticPr fontId="1"/>
  </si>
  <si>
    <t>ブリザガ</t>
    <phoneticPr fontId="1"/>
  </si>
  <si>
    <t>サンダガ</t>
    <phoneticPr fontId="1"/>
  </si>
  <si>
    <t>ブリザジャ</t>
    <phoneticPr fontId="1"/>
  </si>
  <si>
    <t>迅速明け</t>
    <rPh sb="0" eb="2">
      <t>ジンソク</t>
    </rPh>
    <rPh sb="2" eb="3">
      <t>ア</t>
    </rPh>
    <phoneticPr fontId="1"/>
  </si>
  <si>
    <t>迅速</t>
    <rPh sb="0" eb="2">
      <t>ジンソク</t>
    </rPh>
    <phoneticPr fontId="1"/>
  </si>
  <si>
    <t>-</t>
    <phoneticPr fontId="1"/>
  </si>
  <si>
    <t>秒間威力値</t>
    <rPh sb="0" eb="2">
      <t>ビョウカン</t>
    </rPh>
    <rPh sb="2" eb="5">
      <t>イリョクチ</t>
    </rPh>
    <phoneticPr fontId="1"/>
  </si>
  <si>
    <t>秒間威力値</t>
    <rPh sb="0" eb="5">
      <t>ビョウカンイリョクチ</t>
    </rPh>
    <phoneticPr fontId="1"/>
  </si>
  <si>
    <t>クラス名</t>
  </si>
  <si>
    <t>STR</t>
  </si>
  <si>
    <t>DEX</t>
  </si>
  <si>
    <t>VIT</t>
  </si>
  <si>
    <t>INT</t>
  </si>
  <si>
    <t>MND</t>
  </si>
  <si>
    <t>PIE</t>
  </si>
  <si>
    <t>HP</t>
  </si>
  <si>
    <t>MP</t>
  </si>
  <si>
    <t>(剣)Gladiator</t>
  </si>
  <si>
    <t>(ナ)Paladin</t>
  </si>
  <si>
    <t>(闘)Pugilist</t>
  </si>
  <si>
    <t>(モ)Monk</t>
  </si>
  <si>
    <t>(斧)Marauder</t>
  </si>
  <si>
    <t>(戦)Warrior</t>
  </si>
  <si>
    <t>(槍)Lancer</t>
  </si>
  <si>
    <t>(竜)Dragoon</t>
  </si>
  <si>
    <t>(双)Rogue</t>
  </si>
  <si>
    <t>(忍)Ninja</t>
  </si>
  <si>
    <t>(弓)Archer</t>
  </si>
  <si>
    <t>(吟)Bard</t>
  </si>
  <si>
    <t>(幻)Conjurer</t>
  </si>
  <si>
    <t>(白)WhiteMage</t>
  </si>
  <si>
    <t>(呪)Thaumaturge</t>
  </si>
  <si>
    <t>(黒)BlackMage</t>
  </si>
  <si>
    <t>(巴)Arcanist</t>
  </si>
  <si>
    <t>(召)Summoner</t>
  </si>
  <si>
    <t>(学)Scholar</t>
  </si>
  <si>
    <t>(暗)DarkKnight</t>
  </si>
  <si>
    <t>?.??</t>
  </si>
  <si>
    <t>??.?</t>
  </si>
  <si>
    <t>(機)Machinist</t>
  </si>
  <si>
    <t>(占)Astrologian</t>
  </si>
  <si>
    <t>クラス補正</t>
    <rPh sb="3" eb="5">
      <t>ホセイ</t>
    </rPh>
    <phoneticPr fontId="1"/>
  </si>
  <si>
    <t>【種族補正】</t>
  </si>
  <si>
    <t>種族名</t>
  </si>
  <si>
    <t>ヒューラン</t>
  </si>
  <si>
    <t>ミッドランダー</t>
  </si>
  <si>
    <t>ハイランダー</t>
  </si>
  <si>
    <t>エレゼン</t>
  </si>
  <si>
    <t>フォレスター</t>
  </si>
  <si>
    <t>シェーダー</t>
  </si>
  <si>
    <t>ララフェル</t>
  </si>
  <si>
    <t>プレーンフォーク</t>
  </si>
  <si>
    <t>デューンフォーク</t>
  </si>
  <si>
    <t>ミコッテ</t>
  </si>
  <si>
    <t>サンシーカー</t>
  </si>
  <si>
    <t>ムーンキーパー</t>
  </si>
  <si>
    <t>ルガディン</t>
  </si>
  <si>
    <t>ゼーヴォルフ</t>
  </si>
  <si>
    <t>ローエンガルデ</t>
  </si>
  <si>
    <t>アウラ</t>
  </si>
  <si>
    <t>アウラ・レン</t>
  </si>
  <si>
    <t>?</t>
  </si>
  <si>
    <t>アウラ・ゼラ</t>
  </si>
  <si>
    <t>ファイア</t>
    <phoneticPr fontId="1"/>
  </si>
  <si>
    <t>Real</t>
    <phoneticPr fontId="1"/>
  </si>
  <si>
    <t>Sheet1はデータシートです。全てのデータは基本的に、このSheet1から引用されます。
GCD等も全てです。
GCDを変更する場合は、Sheet1の詠唱時間表下部「推定GCD」を変更してください。
変更しない場合、各項目の算定結果と釣り合わず、想定よりもずれた結果となります。ご注意ください。
次に計算表の組み方です。
殆どの部分は自動化されています。魔法名を入れれば、詠唱時間や使用MP等は自動で対応します。
MPが足りない場合、MpcheckがERRORを示します。
エノキアンが継続しない場合、エノキCheckがERRORになります。
Buff/Abilityの欄は注意が必要です。
AFIIIおよびUBIIIは左から1つ目のラインに記載します。
今のところ手動計算です。
迅速・猛者・コンバートは2つ目のラインに記載します。
※ただし、Timeには猛者の効果時間以外を記載しないでください。
激成・サンダーは3つ目のラインです。
黒魔紋は4つ目のラインを専有します。
書き方についてです。
まず、使用する魔法を打ち込みます。
その魔法を使用した結果、UBIIIが付いたのか、AFIIIが付いたのか、継続したのか、を記載します。
バフに関しても、その魔法を詠唱し終わった時に「効果秒数が残っているのか」が判断基準です。
時間切れで消失している場合は名前を書きません。
ついでに秒数も記載します。
次に、今回詠唱した魔法と、次に詠唱する魔法の間に使うアビリティを記載します。
結果と使うアビリティの記載が終わったら、1段下がって、次の魔法を記載、作業を繰り返してください。
例えば「迅速」の記載があった段の次では、キャストタイムを無視します。
さらに黒魔紋の有無を確認した上で、GCDを引用してきます。
また、黒魔紋の記載があった段の次では、15％加速したキャストタイムを引用します。
GCD以下のキャストタイムであったならば、黒魔紋の有無を判定し、GCDのどちらかを引用します。
このように計算式が組まれています。
激成に関しては手動です。
MP計算は「フレア」の場合と「コンバート」の場合のみ別計算式で組まれていますからご注意ください。
強制的に0にするだとか、そういう判定です。コンバート単体の場合は……手動で打ち込んでください。</t>
    <rPh sb="16" eb="17">
      <t>スベ</t>
    </rPh>
    <rPh sb="23" eb="26">
      <t>キホンテキ</t>
    </rPh>
    <rPh sb="38" eb="40">
      <t>インヨウ</t>
    </rPh>
    <rPh sb="49" eb="50">
      <t>ナド</t>
    </rPh>
    <rPh sb="51" eb="52">
      <t>スベ</t>
    </rPh>
    <rPh sb="61" eb="63">
      <t>ヘンコウ</t>
    </rPh>
    <rPh sb="65" eb="67">
      <t>バアイ</t>
    </rPh>
    <rPh sb="76" eb="81">
      <t>エイショウジカンヒョウ</t>
    </rPh>
    <rPh sb="81" eb="83">
      <t>カブ</t>
    </rPh>
    <rPh sb="84" eb="86">
      <t>スイテイ</t>
    </rPh>
    <rPh sb="91" eb="93">
      <t>ヘンコウ</t>
    </rPh>
    <rPh sb="101" eb="103">
      <t>ヘンコウ</t>
    </rPh>
    <rPh sb="106" eb="108">
      <t>バアイ</t>
    </rPh>
    <rPh sb="109" eb="112">
      <t>カクコウモク</t>
    </rPh>
    <rPh sb="113" eb="117">
      <t>サンテイケッカ</t>
    </rPh>
    <rPh sb="118" eb="119">
      <t>ツ</t>
    </rPh>
    <rPh sb="120" eb="121">
      <t>ア</t>
    </rPh>
    <rPh sb="124" eb="126">
      <t>ソウテイ</t>
    </rPh>
    <rPh sb="132" eb="134">
      <t>ケッカ</t>
    </rPh>
    <rPh sb="141" eb="143">
      <t>チュウイ</t>
    </rPh>
    <rPh sb="150" eb="151">
      <t>ツギ</t>
    </rPh>
    <rPh sb="152" eb="155">
      <t>ケイサンヒョウ</t>
    </rPh>
    <rPh sb="156" eb="157">
      <t>ク</t>
    </rPh>
    <rPh sb="158" eb="159">
      <t>カタ</t>
    </rPh>
    <rPh sb="163" eb="164">
      <t>ホトン</t>
    </rPh>
    <rPh sb="166" eb="168">
      <t>ブブン</t>
    </rPh>
    <rPh sb="169" eb="172">
      <t>ジドウカ</t>
    </rPh>
    <rPh sb="179" eb="182">
      <t>マホウメイ</t>
    </rPh>
    <rPh sb="183" eb="184">
      <t>イ</t>
    </rPh>
    <rPh sb="188" eb="192">
      <t>エイショウジカン</t>
    </rPh>
    <rPh sb="193" eb="195">
      <t>シヨウ</t>
    </rPh>
    <rPh sb="197" eb="198">
      <t>ナド</t>
    </rPh>
    <rPh sb="199" eb="201">
      <t>ジドウ</t>
    </rPh>
    <rPh sb="202" eb="204">
      <t>タイオウ</t>
    </rPh>
    <rPh sb="212" eb="213">
      <t>タ</t>
    </rPh>
    <rPh sb="216" eb="218">
      <t>バアイ</t>
    </rPh>
    <rPh sb="233" eb="234">
      <t>シメ</t>
    </rPh>
    <rPh sb="245" eb="247">
      <t>ケイゾク</t>
    </rPh>
    <rPh sb="250" eb="252">
      <t>バアイ</t>
    </rPh>
    <rPh sb="288" eb="289">
      <t>ラン</t>
    </rPh>
    <rPh sb="290" eb="292">
      <t>チュウイ</t>
    </rPh>
    <rPh sb="293" eb="295">
      <t>ヒツヨウ</t>
    </rPh>
    <rPh sb="314" eb="315">
      <t>ヒダリ</t>
    </rPh>
    <rPh sb="319" eb="320">
      <t>メ</t>
    </rPh>
    <rPh sb="325" eb="327">
      <t>キサイ</t>
    </rPh>
    <rPh sb="332" eb="333">
      <t>イマ</t>
    </rPh>
    <rPh sb="337" eb="341">
      <t>シュドウケイサン</t>
    </rPh>
    <rPh sb="346" eb="348">
      <t>ジンソク</t>
    </rPh>
    <rPh sb="349" eb="351">
      <t>モサ</t>
    </rPh>
    <rPh sb="358" eb="361">
      <t>フタツメ</t>
    </rPh>
    <rPh sb="366" eb="368">
      <t>キサイ</t>
    </rPh>
    <rPh sb="384" eb="386">
      <t>モサ</t>
    </rPh>
    <rPh sb="387" eb="391">
      <t>コウカジカン</t>
    </rPh>
    <rPh sb="391" eb="393">
      <t>イガイ</t>
    </rPh>
    <rPh sb="394" eb="396">
      <t>キサイ</t>
    </rPh>
    <rPh sb="407" eb="409">
      <t>ゲキセイ</t>
    </rPh>
    <rPh sb="415" eb="418">
      <t>ミッツメ</t>
    </rPh>
    <rPh sb="430" eb="433">
      <t>ヨッツメ</t>
    </rPh>
    <rPh sb="438" eb="440">
      <t>センユウ</t>
    </rPh>
    <rPh sb="447" eb="448">
      <t>カ</t>
    </rPh>
    <rPh sb="449" eb="450">
      <t>カタ</t>
    </rPh>
    <rPh sb="461" eb="463">
      <t>シヨウ</t>
    </rPh>
    <rPh sb="465" eb="467">
      <t>マホウ</t>
    </rPh>
    <rPh sb="468" eb="469">
      <t>ウ</t>
    </rPh>
    <rPh sb="470" eb="471">
      <t>コ</t>
    </rPh>
    <rPh sb="478" eb="480">
      <t>マホウ</t>
    </rPh>
    <rPh sb="481" eb="483">
      <t>シヨウ</t>
    </rPh>
    <rPh sb="485" eb="487">
      <t>ケッカ</t>
    </rPh>
    <rPh sb="494" eb="495">
      <t>ツ</t>
    </rPh>
    <rPh sb="506" eb="507">
      <t>ツ</t>
    </rPh>
    <rPh sb="512" eb="514">
      <t>ケイゾク</t>
    </rPh>
    <rPh sb="520" eb="522">
      <t>キサイ</t>
    </rPh>
    <rPh sb="530" eb="531">
      <t>カン</t>
    </rPh>
    <rPh sb="537" eb="539">
      <t>マホウ</t>
    </rPh>
    <rPh sb="540" eb="542">
      <t>エイショウ</t>
    </rPh>
    <rPh sb="543" eb="544">
      <t>オ</t>
    </rPh>
    <rPh sb="547" eb="548">
      <t>トキ</t>
    </rPh>
    <rPh sb="550" eb="552">
      <t>コウカ</t>
    </rPh>
    <rPh sb="552" eb="554">
      <t>ビョウスウ</t>
    </rPh>
    <rPh sb="555" eb="556">
      <t>ノコ</t>
    </rPh>
    <rPh sb="564" eb="568">
      <t>ハンダンキジュン</t>
    </rPh>
    <rPh sb="572" eb="575">
      <t>ジカンギ</t>
    </rPh>
    <rPh sb="577" eb="579">
      <t>ショウシツ</t>
    </rPh>
    <rPh sb="583" eb="585">
      <t>バアイ</t>
    </rPh>
    <rPh sb="586" eb="588">
      <t>ナマエ</t>
    </rPh>
    <rPh sb="589" eb="590">
      <t>カ</t>
    </rPh>
    <rPh sb="600" eb="602">
      <t>ビョウスウ</t>
    </rPh>
    <rPh sb="603" eb="605">
      <t>キサイ</t>
    </rPh>
    <rPh sb="610" eb="611">
      <t>ツギ</t>
    </rPh>
    <rPh sb="613" eb="615">
      <t>コンカイ</t>
    </rPh>
    <rPh sb="615" eb="617">
      <t>エイショウ</t>
    </rPh>
    <rPh sb="619" eb="621">
      <t>マホウ</t>
    </rPh>
    <rPh sb="623" eb="624">
      <t>ツギ</t>
    </rPh>
    <rPh sb="625" eb="627">
      <t>エイショウ</t>
    </rPh>
    <rPh sb="629" eb="631">
      <t>マホウ</t>
    </rPh>
    <rPh sb="632" eb="633">
      <t>アイダ</t>
    </rPh>
    <rPh sb="634" eb="635">
      <t>ツカ</t>
    </rPh>
    <rPh sb="642" eb="644">
      <t>キサイ</t>
    </rPh>
    <rPh sb="649" eb="651">
      <t>ケッカ</t>
    </rPh>
    <rPh sb="652" eb="653">
      <t>ツカ</t>
    </rPh>
    <rPh sb="660" eb="662">
      <t>キサイ</t>
    </rPh>
    <rPh sb="663" eb="664">
      <t>オ</t>
    </rPh>
    <rPh sb="669" eb="672">
      <t>イチダンサ</t>
    </rPh>
    <rPh sb="676" eb="677">
      <t>ツギ</t>
    </rPh>
    <rPh sb="678" eb="680">
      <t>マホウ</t>
    </rPh>
    <rPh sb="681" eb="683">
      <t>キサイ</t>
    </rPh>
    <rPh sb="684" eb="686">
      <t>サギョウ</t>
    </rPh>
    <rPh sb="687" eb="688">
      <t>ク</t>
    </rPh>
    <rPh sb="689" eb="690">
      <t>カエ</t>
    </rPh>
    <rPh sb="700" eb="701">
      <t>タト</t>
    </rPh>
    <rPh sb="704" eb="706">
      <t>ジンソク</t>
    </rPh>
    <rPh sb="708" eb="710">
      <t>キサイ</t>
    </rPh>
    <rPh sb="714" eb="715">
      <t>ダン</t>
    </rPh>
    <rPh sb="716" eb="717">
      <t>ツギ</t>
    </rPh>
    <rPh sb="728" eb="730">
      <t>ムシ</t>
    </rPh>
    <rPh sb="859" eb="862">
      <t>ケイサンシキ</t>
    </rPh>
    <rPh sb="863" eb="864">
      <t>ク</t>
    </rPh>
    <rPh sb="873" eb="875">
      <t>ゲキセイ</t>
    </rPh>
    <rPh sb="876" eb="877">
      <t>カン</t>
    </rPh>
    <rPh sb="880" eb="882">
      <t>シュドウ</t>
    </rPh>
    <rPh sb="889" eb="891">
      <t>ケイサン</t>
    </rPh>
    <rPh sb="898" eb="900">
      <t>バアイ</t>
    </rPh>
    <rPh sb="909" eb="911">
      <t>バアイ</t>
    </rPh>
    <rPh sb="913" eb="917">
      <t>ベツケイサンシキ</t>
    </rPh>
    <rPh sb="918" eb="919">
      <t>ク</t>
    </rPh>
    <rPh sb="928" eb="930">
      <t>チュウイ</t>
    </rPh>
    <rPh sb="936" eb="939">
      <t>キョウセイテキ</t>
    </rPh>
    <rPh sb="952" eb="954">
      <t>ハンテイ</t>
    </rPh>
    <rPh sb="962" eb="964">
      <t>タンタイ</t>
    </rPh>
    <rPh sb="965" eb="967">
      <t>バアイ</t>
    </rPh>
    <rPh sb="970" eb="972">
      <t>シュドウ</t>
    </rPh>
    <rPh sb="973" eb="974">
      <t>ウ</t>
    </rPh>
    <rPh sb="975" eb="976">
      <t>コ</t>
    </rPh>
    <phoneticPr fontId="1"/>
  </si>
  <si>
    <t>黒魔紋</t>
    <rPh sb="0" eb="1">
      <t>クロ</t>
    </rPh>
    <rPh sb="1" eb="2">
      <t>バ</t>
    </rPh>
    <rPh sb="2" eb="3">
      <t>モン</t>
    </rPh>
    <phoneticPr fontId="1"/>
  </si>
  <si>
    <t>迅速</t>
    <rPh sb="0" eb="2">
      <t>ジンソク</t>
    </rPh>
    <phoneticPr fontId="1"/>
  </si>
  <si>
    <t>激成</t>
    <rPh sb="0" eb="2">
      <t>ゲキセイ</t>
    </rPh>
    <phoneticPr fontId="1"/>
  </si>
  <si>
    <t>ファイア</t>
    <phoneticPr fontId="1"/>
  </si>
  <si>
    <t>黒魔紋</t>
    <rPh sb="0" eb="1">
      <t>クロ</t>
    </rPh>
    <rPh sb="1" eb="2">
      <t>マ</t>
    </rPh>
    <rPh sb="2" eb="3">
      <t>モン</t>
    </rPh>
    <phoneticPr fontId="1"/>
  </si>
  <si>
    <t>ファイア</t>
    <phoneticPr fontId="1"/>
  </si>
  <si>
    <t>ファイジャ</t>
    <phoneticPr fontId="1"/>
  </si>
  <si>
    <t>コンバート</t>
    <phoneticPr fontId="1"/>
  </si>
  <si>
    <t>迅速明け</t>
    <rPh sb="0" eb="3">
      <t>ジンソクア</t>
    </rPh>
    <phoneticPr fontId="1"/>
  </si>
  <si>
    <t>猛者CT</t>
    <rPh sb="0" eb="2">
      <t>モサ</t>
    </rPh>
    <phoneticPr fontId="1"/>
  </si>
  <si>
    <t>激成明け</t>
  </si>
  <si>
    <t>猛者終</t>
    <rPh sb="0" eb="2">
      <t>モサ</t>
    </rPh>
    <rPh sb="2" eb="3">
      <t>オ</t>
    </rPh>
    <phoneticPr fontId="1"/>
  </si>
  <si>
    <t>ファイガ+</t>
    <phoneticPr fontId="1"/>
  </si>
  <si>
    <t>発生確率</t>
    <rPh sb="0" eb="4">
      <t>ハッセイカクリツ</t>
    </rPh>
    <phoneticPr fontId="1"/>
  </si>
  <si>
    <t>発生時威力</t>
    <rPh sb="0" eb="5">
      <t>ハッセイジイリョク</t>
    </rPh>
    <phoneticPr fontId="1"/>
  </si>
  <si>
    <t>秒威力</t>
    <rPh sb="0" eb="3">
      <t>ビョウイリョク</t>
    </rPh>
    <phoneticPr fontId="1"/>
  </si>
  <si>
    <t>DOT</t>
    <phoneticPr fontId="1"/>
  </si>
  <si>
    <t>計1秒換算</t>
    <rPh sb="0" eb="1">
      <t>ケイ</t>
    </rPh>
    <rPh sb="2" eb="3">
      <t>ビョウ</t>
    </rPh>
    <rPh sb="3" eb="5">
      <t>カンサン</t>
    </rPh>
    <phoneticPr fontId="1"/>
  </si>
  <si>
    <t>Procファイガ</t>
    <phoneticPr fontId="1"/>
  </si>
  <si>
    <t>Procサンダー</t>
    <phoneticPr fontId="1"/>
  </si>
  <si>
    <t>Procサンダガ</t>
    <phoneticPr fontId="1"/>
  </si>
  <si>
    <t>Procサンダラ</t>
    <phoneticPr fontId="1"/>
  </si>
  <si>
    <t>ファイガ</t>
    <phoneticPr fontId="1"/>
  </si>
  <si>
    <t>ファイア+</t>
    <phoneticPr fontId="1"/>
  </si>
  <si>
    <t>サンダラ</t>
    <phoneticPr fontId="1"/>
  </si>
  <si>
    <t>サンダガ</t>
    <phoneticPr fontId="1"/>
  </si>
  <si>
    <t>サンダー</t>
    <phoneticPr fontId="1"/>
  </si>
  <si>
    <t>DOT無し</t>
    <rPh sb="3" eb="4">
      <t>ナ</t>
    </rPh>
    <phoneticPr fontId="1"/>
  </si>
  <si>
    <t>ファイア</t>
    <phoneticPr fontId="1"/>
  </si>
  <si>
    <t>激成</t>
    <rPh sb="0" eb="2">
      <t>ゲキセイ</t>
    </rPh>
    <phoneticPr fontId="1"/>
  </si>
  <si>
    <t>ファイジャ</t>
    <phoneticPr fontId="1"/>
  </si>
  <si>
    <t>サンダー</t>
    <phoneticPr fontId="1"/>
  </si>
  <si>
    <t>サンダラ</t>
    <phoneticPr fontId="1"/>
  </si>
  <si>
    <t>サンダー</t>
    <phoneticPr fontId="1"/>
  </si>
  <si>
    <t>サンダー</t>
    <phoneticPr fontId="1"/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</si>
</sst>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#,##0.00_);[Red]\(#,##0.00\)"/>
    <numFmt numFmtId="178" formatCode="#,##0.000_);[Red]\(#,##0.000\)"/>
    <numFmt numFmtId="179" formatCode="0.000_);[Red]\(0.000\)"/>
    <numFmt numFmtId="180" formatCode="#,##0.0_);[Red]\(#,##0.0\)"/>
    <numFmt numFmtId="181" formatCode="#,##0_ ;[Red]\-#,##0\ "/>
    <numFmt numFmtId="182" formatCode="0.00_);[Red]\(0.00\)"/>
    <numFmt numFmtId="183" formatCode="#,##0_ "/>
    <numFmt numFmtId="184" formatCode="#,##0.0_ "/>
    <numFmt numFmtId="185" formatCode="0_);[Red]\(0\)"/>
    <numFmt numFmtId="186" formatCode="#,##0.00_ ;[Red]\-#,##0.00\ "/>
    <numFmt numFmtId="18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7"/>
      <color theme="1" tint="0.34998626667073579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FFEEEE"/>
        <bgColor indexed="64"/>
      </patternFill>
    </fill>
    <fill>
      <patternFill patternType="solid">
        <fgColor rgb="FFEEFFEE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BBBB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BFFBB"/>
        <bgColor indexed="64"/>
      </patternFill>
    </fill>
    <fill>
      <patternFill patternType="solid">
        <fgColor rgb="FFFF9999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hair">
        <color indexed="64"/>
      </left>
      <right/>
      <top style="double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177" fontId="3" fillId="3" borderId="11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>
      <alignment vertical="center"/>
    </xf>
    <xf numFmtId="177" fontId="3" fillId="3" borderId="1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9" xfId="0" applyNumberFormat="1" applyFont="1" applyBorder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9" fontId="3" fillId="0" borderId="11" xfId="0" applyNumberFormat="1" applyFont="1" applyBorder="1">
      <alignment vertical="center"/>
    </xf>
    <xf numFmtId="179" fontId="3" fillId="0" borderId="19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>
      <alignment vertical="center"/>
    </xf>
    <xf numFmtId="180" fontId="3" fillId="3" borderId="11" xfId="0" applyNumberFormat="1" applyFont="1" applyFill="1" applyBorder="1">
      <alignment vertical="center"/>
    </xf>
    <xf numFmtId="180" fontId="3" fillId="2" borderId="11" xfId="0" applyNumberFormat="1" applyFont="1" applyFill="1" applyBorder="1">
      <alignment vertical="center"/>
    </xf>
    <xf numFmtId="180" fontId="3" fillId="0" borderId="12" xfId="0" applyNumberFormat="1" applyFont="1" applyBorder="1">
      <alignment vertical="center"/>
    </xf>
    <xf numFmtId="180" fontId="3" fillId="3" borderId="11" xfId="0" applyNumberFormat="1" applyFont="1" applyFill="1" applyBorder="1" applyAlignment="1">
      <alignment horizontal="center" vertical="center"/>
    </xf>
    <xf numFmtId="180" fontId="3" fillId="2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/>
    </xf>
    <xf numFmtId="180" fontId="3" fillId="0" borderId="19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9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1" fontId="3" fillId="0" borderId="0" xfId="0" applyNumberFormat="1" applyFont="1">
      <alignment vertical="center"/>
    </xf>
    <xf numFmtId="181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82" fontId="3" fillId="0" borderId="0" xfId="0" applyNumberFormat="1" applyFont="1" applyBorder="1">
      <alignment vertical="center"/>
    </xf>
    <xf numFmtId="182" fontId="3" fillId="0" borderId="36" xfId="0" applyNumberFormat="1" applyFont="1" applyBorder="1" applyAlignment="1">
      <alignment vertical="center"/>
    </xf>
    <xf numFmtId="182" fontId="3" fillId="0" borderId="36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3" fillId="0" borderId="4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82" fontId="4" fillId="0" borderId="0" xfId="0" applyNumberFormat="1" applyFont="1">
      <alignment vertical="center"/>
    </xf>
    <xf numFmtId="182" fontId="3" fillId="0" borderId="29" xfId="0" applyNumberFormat="1" applyFont="1" applyBorder="1">
      <alignment vertical="center"/>
    </xf>
    <xf numFmtId="182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left" vertical="center"/>
    </xf>
    <xf numFmtId="182" fontId="2" fillId="0" borderId="36" xfId="0" applyNumberFormat="1" applyFont="1" applyBorder="1" applyAlignment="1">
      <alignment vertical="center"/>
    </xf>
    <xf numFmtId="182" fontId="3" fillId="0" borderId="28" xfId="0" applyNumberFormat="1" applyFont="1" applyBorder="1">
      <alignment vertical="center"/>
    </xf>
    <xf numFmtId="182" fontId="3" fillId="0" borderId="30" xfId="0" applyNumberFormat="1" applyFont="1" applyBorder="1" applyAlignment="1">
      <alignment horizontal="center" vertical="center"/>
    </xf>
    <xf numFmtId="182" fontId="3" fillId="0" borderId="33" xfId="0" applyNumberFormat="1" applyFont="1" applyBorder="1" applyAlignment="1">
      <alignment horizontal="center" vertical="center"/>
    </xf>
    <xf numFmtId="182" fontId="3" fillId="0" borderId="29" xfId="0" applyNumberFormat="1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center" vertical="center"/>
    </xf>
    <xf numFmtId="182" fontId="3" fillId="0" borderId="34" xfId="0" applyNumberFormat="1" applyFont="1" applyBorder="1">
      <alignment vertical="center"/>
    </xf>
    <xf numFmtId="182" fontId="4" fillId="0" borderId="39" xfId="0" applyNumberFormat="1" applyFont="1" applyBorder="1">
      <alignment vertical="center"/>
    </xf>
    <xf numFmtId="182" fontId="3" fillId="0" borderId="41" xfId="0" applyNumberFormat="1" applyFont="1" applyBorder="1">
      <alignment vertical="center"/>
    </xf>
    <xf numFmtId="182" fontId="3" fillId="0" borderId="40" xfId="0" applyNumberFormat="1" applyFont="1" applyBorder="1">
      <alignment vertical="center"/>
    </xf>
    <xf numFmtId="182" fontId="3" fillId="0" borderId="42" xfId="0" applyNumberFormat="1" applyFont="1" applyBorder="1">
      <alignment vertical="center"/>
    </xf>
    <xf numFmtId="181" fontId="3" fillId="0" borderId="39" xfId="0" applyNumberFormat="1" applyFont="1" applyBorder="1" applyAlignment="1">
      <alignment horizontal="right" vertical="center"/>
    </xf>
    <xf numFmtId="181" fontId="5" fillId="0" borderId="39" xfId="0" applyNumberFormat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43" xfId="0" applyFont="1" applyBorder="1">
      <alignment vertical="center"/>
    </xf>
    <xf numFmtId="183" fontId="4" fillId="0" borderId="0" xfId="0" applyNumberFormat="1" applyFont="1">
      <alignment vertical="center"/>
    </xf>
    <xf numFmtId="183" fontId="4" fillId="0" borderId="0" xfId="0" applyNumberFormat="1" applyFont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181" fontId="5" fillId="0" borderId="0" xfId="0" applyNumberFormat="1" applyFont="1" applyBorder="1">
      <alignment vertical="center"/>
    </xf>
    <xf numFmtId="0" fontId="3" fillId="0" borderId="46" xfId="0" applyFont="1" applyBorder="1">
      <alignment vertical="center"/>
    </xf>
    <xf numFmtId="182" fontId="3" fillId="0" borderId="47" xfId="0" applyNumberFormat="1" applyFont="1" applyBorder="1">
      <alignment vertical="center"/>
    </xf>
    <xf numFmtId="182" fontId="3" fillId="0" borderId="46" xfId="0" applyNumberFormat="1" applyFont="1" applyBorder="1">
      <alignment vertical="center"/>
    </xf>
    <xf numFmtId="182" fontId="3" fillId="0" borderId="48" xfId="0" applyNumberFormat="1" applyFont="1" applyBorder="1">
      <alignment vertical="center"/>
    </xf>
    <xf numFmtId="181" fontId="5" fillId="0" borderId="44" xfId="0" applyNumberFormat="1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182" fontId="3" fillId="0" borderId="47" xfId="0" applyNumberFormat="1" applyFont="1" applyBorder="1" applyAlignment="1">
      <alignment horizontal="center" vertical="center"/>
    </xf>
    <xf numFmtId="182" fontId="3" fillId="0" borderId="46" xfId="0" applyNumberFormat="1" applyFont="1" applyBorder="1" applyAlignment="1">
      <alignment horizontal="center" vertical="center"/>
    </xf>
    <xf numFmtId="182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182" fontId="3" fillId="0" borderId="35" xfId="0" applyNumberFormat="1" applyFont="1" applyBorder="1">
      <alignment vertical="center"/>
    </xf>
    <xf numFmtId="182" fontId="3" fillId="0" borderId="49" xfId="0" applyNumberFormat="1" applyFont="1" applyBorder="1">
      <alignment vertical="center"/>
    </xf>
    <xf numFmtId="182" fontId="3" fillId="0" borderId="50" xfId="0" applyNumberFormat="1" applyFont="1" applyBorder="1">
      <alignment vertical="center"/>
    </xf>
    <xf numFmtId="181" fontId="5" fillId="0" borderId="36" xfId="0" applyNumberFormat="1" applyFont="1" applyBorder="1">
      <alignment vertical="center"/>
    </xf>
    <xf numFmtId="182" fontId="4" fillId="0" borderId="36" xfId="0" applyNumberFormat="1" applyFont="1" applyBorder="1" applyAlignment="1">
      <alignment horizontal="right" vertical="center"/>
    </xf>
    <xf numFmtId="182" fontId="4" fillId="0" borderId="36" xfId="0" applyNumberFormat="1" applyFont="1" applyBorder="1" applyAlignment="1">
      <alignment horizontal="left" vertical="center"/>
    </xf>
    <xf numFmtId="185" fontId="4" fillId="0" borderId="36" xfId="0" applyNumberFormat="1" applyFont="1" applyBorder="1" applyAlignment="1">
      <alignment horizontal="left" vertical="center"/>
    </xf>
    <xf numFmtId="184" fontId="7" fillId="0" borderId="0" xfId="0" applyNumberFormat="1" applyFont="1">
      <alignment vertical="center"/>
    </xf>
    <xf numFmtId="182" fontId="4" fillId="0" borderId="51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right" vertical="center"/>
    </xf>
    <xf numFmtId="0" fontId="3" fillId="0" borderId="57" xfId="0" applyFont="1" applyBorder="1">
      <alignment vertical="center"/>
    </xf>
    <xf numFmtId="182" fontId="3" fillId="0" borderId="56" xfId="0" applyNumberFormat="1" applyFont="1" applyBorder="1">
      <alignment vertical="center"/>
    </xf>
    <xf numFmtId="182" fontId="3" fillId="0" borderId="57" xfId="0" applyNumberFormat="1" applyFont="1" applyBorder="1">
      <alignment vertical="center"/>
    </xf>
    <xf numFmtId="182" fontId="3" fillId="0" borderId="58" xfId="0" applyNumberFormat="1" applyFont="1" applyBorder="1">
      <alignment vertical="center"/>
    </xf>
    <xf numFmtId="181" fontId="5" fillId="0" borderId="59" xfId="0" applyNumberFormat="1" applyFont="1" applyBorder="1">
      <alignment vertical="center"/>
    </xf>
    <xf numFmtId="182" fontId="4" fillId="0" borderId="36" xfId="0" applyNumberFormat="1" applyFont="1" applyBorder="1" applyAlignment="1">
      <alignment horizontal="right" vertical="center"/>
    </xf>
    <xf numFmtId="0" fontId="8" fillId="0" borderId="4" xfId="0" applyFont="1" applyBorder="1">
      <alignment vertical="center"/>
    </xf>
    <xf numFmtId="183" fontId="8" fillId="0" borderId="4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83" fontId="8" fillId="0" borderId="4" xfId="0" applyNumberFormat="1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183" fontId="8" fillId="0" borderId="47" xfId="0" applyNumberFormat="1" applyFont="1" applyBorder="1">
      <alignment vertical="center"/>
    </xf>
    <xf numFmtId="182" fontId="8" fillId="0" borderId="4" xfId="0" applyNumberFormat="1" applyFont="1" applyBorder="1">
      <alignment vertical="center"/>
    </xf>
    <xf numFmtId="0" fontId="8" fillId="0" borderId="56" xfId="0" applyFont="1" applyBorder="1">
      <alignment vertical="center"/>
    </xf>
    <xf numFmtId="183" fontId="8" fillId="0" borderId="56" xfId="0" applyNumberFormat="1" applyFont="1" applyBorder="1">
      <alignment vertical="center"/>
    </xf>
    <xf numFmtId="182" fontId="8" fillId="0" borderId="56" xfId="0" applyNumberFormat="1" applyFont="1" applyBorder="1">
      <alignment vertical="center"/>
    </xf>
    <xf numFmtId="0" fontId="8" fillId="0" borderId="35" xfId="0" applyFont="1" applyBorder="1">
      <alignment vertical="center"/>
    </xf>
    <xf numFmtId="183" fontId="8" fillId="0" borderId="35" xfId="0" applyNumberFormat="1" applyFont="1" applyBorder="1">
      <alignment vertical="center"/>
    </xf>
    <xf numFmtId="182" fontId="8" fillId="0" borderId="35" xfId="0" applyNumberFormat="1" applyFont="1" applyBorder="1">
      <alignment vertical="center"/>
    </xf>
    <xf numFmtId="182" fontId="8" fillId="0" borderId="47" xfId="0" applyNumberFormat="1" applyFont="1" applyBorder="1">
      <alignment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left" vertical="center"/>
    </xf>
    <xf numFmtId="181" fontId="9" fillId="0" borderId="0" xfId="0" applyNumberFormat="1" applyFont="1" applyAlignment="1">
      <alignment horizontal="center" vertical="center"/>
    </xf>
    <xf numFmtId="181" fontId="9" fillId="0" borderId="44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9" fillId="0" borderId="59" xfId="0" applyNumberFormat="1" applyFont="1" applyBorder="1" applyAlignment="1">
      <alignment horizontal="right" vertical="center"/>
    </xf>
    <xf numFmtId="181" fontId="9" fillId="0" borderId="36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52" xfId="0" applyFont="1" applyBorder="1">
      <alignment vertical="center"/>
    </xf>
    <xf numFmtId="0" fontId="10" fillId="0" borderId="52" xfId="0" applyFont="1" applyBorder="1" applyAlignment="1">
      <alignment horizontal="center" vertical="center"/>
    </xf>
    <xf numFmtId="0" fontId="9" fillId="0" borderId="53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4" xfId="0" applyFont="1" applyBorder="1">
      <alignment vertical="center"/>
    </xf>
    <xf numFmtId="186" fontId="3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3" fillId="0" borderId="6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4" borderId="64" xfId="0" applyFont="1" applyFill="1" applyBorder="1" applyAlignment="1">
      <alignment vertical="center"/>
    </xf>
    <xf numFmtId="0" fontId="3" fillId="4" borderId="60" xfId="0" applyFont="1" applyFill="1" applyBorder="1" applyAlignment="1">
      <alignment vertical="center"/>
    </xf>
    <xf numFmtId="0" fontId="3" fillId="4" borderId="65" xfId="0" applyFont="1" applyFill="1" applyBorder="1" applyAlignment="1">
      <alignment vertical="center"/>
    </xf>
    <xf numFmtId="0" fontId="3" fillId="5" borderId="64" xfId="0" applyFont="1" applyFill="1" applyBorder="1" applyAlignment="1">
      <alignment vertical="center"/>
    </xf>
    <xf numFmtId="0" fontId="3" fillId="5" borderId="60" xfId="0" applyFont="1" applyFill="1" applyBorder="1" applyAlignment="1">
      <alignment vertical="center"/>
    </xf>
    <xf numFmtId="0" fontId="3" fillId="5" borderId="65" xfId="0" applyFont="1" applyFill="1" applyBorder="1" applyAlignment="1">
      <alignment vertical="center"/>
    </xf>
    <xf numFmtId="0" fontId="3" fillId="6" borderId="64" xfId="0" applyFont="1" applyFill="1" applyBorder="1" applyAlignment="1">
      <alignment vertical="center"/>
    </xf>
    <xf numFmtId="0" fontId="3" fillId="6" borderId="60" xfId="0" applyFont="1" applyFill="1" applyBorder="1" applyAlignment="1">
      <alignment vertical="center"/>
    </xf>
    <xf numFmtId="0" fontId="3" fillId="6" borderId="65" xfId="0" applyFont="1" applyFill="1" applyBorder="1" applyAlignment="1">
      <alignment vertical="center"/>
    </xf>
    <xf numFmtId="0" fontId="3" fillId="7" borderId="64" xfId="0" applyFont="1" applyFill="1" applyBorder="1" applyAlignment="1">
      <alignment vertical="center"/>
    </xf>
    <xf numFmtId="0" fontId="3" fillId="7" borderId="60" xfId="0" applyFont="1" applyFill="1" applyBorder="1" applyAlignment="1">
      <alignment vertical="center"/>
    </xf>
    <xf numFmtId="0" fontId="3" fillId="7" borderId="65" xfId="0" applyFont="1" applyFill="1" applyBorder="1" applyAlignment="1">
      <alignment vertical="center"/>
    </xf>
    <xf numFmtId="0" fontId="3" fillId="7" borderId="66" xfId="0" applyFont="1" applyFill="1" applyBorder="1" applyAlignment="1">
      <alignment vertical="center"/>
    </xf>
    <xf numFmtId="0" fontId="3" fillId="7" borderId="67" xfId="0" applyFont="1" applyFill="1" applyBorder="1" applyAlignment="1">
      <alignment vertical="center"/>
    </xf>
    <xf numFmtId="0" fontId="3" fillId="7" borderId="6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0" xfId="0" applyFont="1" applyBorder="1" applyAlignment="1">
      <alignment horizontal="left" vertical="center"/>
    </xf>
    <xf numFmtId="0" fontId="3" fillId="8" borderId="60" xfId="0" applyFont="1" applyFill="1" applyBorder="1" applyAlignment="1">
      <alignment horizontal="right" vertical="center"/>
    </xf>
    <xf numFmtId="0" fontId="3" fillId="9" borderId="60" xfId="0" applyFont="1" applyFill="1" applyBorder="1" applyAlignment="1">
      <alignment horizontal="right" vertical="center"/>
    </xf>
    <xf numFmtId="0" fontId="3" fillId="4" borderId="60" xfId="0" applyFont="1" applyFill="1" applyBorder="1" applyAlignment="1">
      <alignment horizontal="right" vertical="center"/>
    </xf>
    <xf numFmtId="0" fontId="3" fillId="10" borderId="60" xfId="0" applyFont="1" applyFill="1" applyBorder="1" applyAlignment="1">
      <alignment horizontal="right" vertical="center"/>
    </xf>
    <xf numFmtId="0" fontId="3" fillId="11" borderId="60" xfId="0" applyFont="1" applyFill="1" applyBorder="1" applyAlignment="1">
      <alignment horizontal="right" vertical="center"/>
    </xf>
    <xf numFmtId="0" fontId="3" fillId="12" borderId="60" xfId="0" applyFont="1" applyFill="1" applyBorder="1" applyAlignment="1">
      <alignment horizontal="right" vertical="center"/>
    </xf>
    <xf numFmtId="0" fontId="3" fillId="13" borderId="60" xfId="0" applyFont="1" applyFill="1" applyBorder="1" applyAlignment="1">
      <alignment horizontal="right" vertical="center"/>
    </xf>
    <xf numFmtId="0" fontId="8" fillId="0" borderId="52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4" fillId="0" borderId="3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82" fontId="4" fillId="0" borderId="47" xfId="0" applyNumberFormat="1" applyFont="1" applyBorder="1" applyAlignment="1">
      <alignment horizontal="center" vertical="center"/>
    </xf>
    <xf numFmtId="182" fontId="4" fillId="0" borderId="46" xfId="0" applyNumberFormat="1" applyFont="1" applyBorder="1" applyAlignment="1">
      <alignment horizontal="center" vertical="center"/>
    </xf>
    <xf numFmtId="182" fontId="4" fillId="0" borderId="48" xfId="0" applyNumberFormat="1" applyFont="1" applyBorder="1" applyAlignment="1">
      <alignment horizontal="center" vertical="center"/>
    </xf>
    <xf numFmtId="0" fontId="8" fillId="0" borderId="53" xfId="0" applyFont="1" applyBorder="1">
      <alignment vertical="center"/>
    </xf>
    <xf numFmtId="0" fontId="4" fillId="0" borderId="29" xfId="0" applyFont="1" applyBorder="1">
      <alignment vertical="center"/>
    </xf>
    <xf numFmtId="182" fontId="4" fillId="0" borderId="4" xfId="0" applyNumberFormat="1" applyFont="1" applyBorder="1">
      <alignment vertical="center"/>
    </xf>
    <xf numFmtId="182" fontId="4" fillId="0" borderId="29" xfId="0" applyNumberFormat="1" applyFont="1" applyBorder="1">
      <alignment vertical="center"/>
    </xf>
    <xf numFmtId="182" fontId="4" fillId="0" borderId="34" xfId="0" applyNumberFormat="1" applyFont="1" applyBorder="1">
      <alignment vertical="center"/>
    </xf>
    <xf numFmtId="186" fontId="4" fillId="0" borderId="0" xfId="0" applyNumberFormat="1" applyFont="1">
      <alignment vertical="center"/>
    </xf>
    <xf numFmtId="0" fontId="4" fillId="0" borderId="49" xfId="0" applyFont="1" applyBorder="1">
      <alignment vertical="center"/>
    </xf>
    <xf numFmtId="182" fontId="4" fillId="0" borderId="35" xfId="0" applyNumberFormat="1" applyFont="1" applyBorder="1">
      <alignment vertical="center"/>
    </xf>
    <xf numFmtId="182" fontId="4" fillId="0" borderId="49" xfId="0" applyNumberFormat="1" applyFont="1" applyBorder="1">
      <alignment vertical="center"/>
    </xf>
    <xf numFmtId="182" fontId="4" fillId="0" borderId="50" xfId="0" applyNumberFormat="1" applyFont="1" applyBorder="1">
      <alignment vertical="center"/>
    </xf>
    <xf numFmtId="0" fontId="8" fillId="0" borderId="54" xfId="0" applyFont="1" applyBorder="1">
      <alignment vertical="center"/>
    </xf>
    <xf numFmtId="0" fontId="4" fillId="0" borderId="57" xfId="0" applyFont="1" applyBorder="1">
      <alignment vertical="center"/>
    </xf>
    <xf numFmtId="182" fontId="4" fillId="0" borderId="56" xfId="0" applyNumberFormat="1" applyFont="1" applyBorder="1">
      <alignment vertical="center"/>
    </xf>
    <xf numFmtId="182" fontId="4" fillId="0" borderId="57" xfId="0" applyNumberFormat="1" applyFont="1" applyBorder="1">
      <alignment vertical="center"/>
    </xf>
    <xf numFmtId="182" fontId="4" fillId="0" borderId="58" xfId="0" applyNumberFormat="1" applyFont="1" applyBorder="1">
      <alignment vertical="center"/>
    </xf>
    <xf numFmtId="0" fontId="8" fillId="0" borderId="55" xfId="0" applyFont="1" applyBorder="1">
      <alignment vertical="center"/>
    </xf>
    <xf numFmtId="0" fontId="4" fillId="0" borderId="46" xfId="0" applyFont="1" applyBorder="1">
      <alignment vertical="center"/>
    </xf>
    <xf numFmtId="182" fontId="4" fillId="0" borderId="47" xfId="0" applyNumberFormat="1" applyFont="1" applyBorder="1">
      <alignment vertical="center"/>
    </xf>
    <xf numFmtId="182" fontId="4" fillId="0" borderId="46" xfId="0" applyNumberFormat="1" applyFont="1" applyBorder="1">
      <alignment vertical="center"/>
    </xf>
    <xf numFmtId="182" fontId="4" fillId="0" borderId="48" xfId="0" applyNumberFormat="1" applyFont="1" applyBorder="1">
      <alignment vertical="center"/>
    </xf>
    <xf numFmtId="0" fontId="4" fillId="0" borderId="45" xfId="0" applyFont="1" applyBorder="1">
      <alignment vertical="center"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left" vertical="center"/>
    </xf>
    <xf numFmtId="187" fontId="7" fillId="0" borderId="0" xfId="0" applyNumberFormat="1" applyFont="1">
      <alignment vertical="center"/>
    </xf>
    <xf numFmtId="187" fontId="8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right" vertical="center"/>
    </xf>
    <xf numFmtId="187" fontId="8" fillId="0" borderId="44" xfId="0" applyNumberFormat="1" applyFont="1" applyBorder="1" applyAlignment="1">
      <alignment horizontal="right" vertical="center"/>
    </xf>
    <xf numFmtId="187" fontId="12" fillId="0" borderId="44" xfId="0" applyNumberFormat="1" applyFont="1" applyBorder="1">
      <alignment vertical="center"/>
    </xf>
    <xf numFmtId="187" fontId="12" fillId="0" borderId="0" xfId="0" applyNumberFormat="1" applyFont="1">
      <alignment vertical="center"/>
    </xf>
    <xf numFmtId="187" fontId="8" fillId="0" borderId="36" xfId="0" applyNumberFormat="1" applyFont="1" applyBorder="1" applyAlignment="1">
      <alignment horizontal="right" vertical="center"/>
    </xf>
    <xf numFmtId="187" fontId="12" fillId="0" borderId="36" xfId="0" applyNumberFormat="1" applyFont="1" applyBorder="1">
      <alignment vertical="center"/>
    </xf>
    <xf numFmtId="187" fontId="8" fillId="0" borderId="59" xfId="0" applyNumberFormat="1" applyFont="1" applyBorder="1" applyAlignment="1">
      <alignment horizontal="right" vertical="center"/>
    </xf>
    <xf numFmtId="187" fontId="12" fillId="0" borderId="59" xfId="0" applyNumberFormat="1" applyFont="1" applyBorder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12" fillId="0" borderId="0" xfId="0" applyNumberFormat="1" applyFont="1" applyBorder="1">
      <alignment vertical="center"/>
    </xf>
    <xf numFmtId="187" fontId="8" fillId="0" borderId="0" xfId="0" applyNumberFormat="1" applyFont="1">
      <alignment vertical="center"/>
    </xf>
    <xf numFmtId="187" fontId="4" fillId="0" borderId="0" xfId="0" applyNumberFormat="1" applyFont="1">
      <alignment vertical="center"/>
    </xf>
    <xf numFmtId="187" fontId="13" fillId="0" borderId="0" xfId="0" applyNumberFormat="1" applyFont="1" applyAlignment="1">
      <alignment horizontal="right" vertical="center"/>
    </xf>
    <xf numFmtId="182" fontId="2" fillId="0" borderId="36" xfId="0" applyNumberFormat="1" applyFont="1" applyBorder="1" applyAlignment="1">
      <alignment horizontal="right" vertical="center"/>
    </xf>
    <xf numFmtId="182" fontId="2" fillId="0" borderId="36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2" fontId="4" fillId="0" borderId="36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2" fontId="4" fillId="0" borderId="36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4" fillId="0" borderId="36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177" fontId="3" fillId="0" borderId="61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7" fontId="3" fillId="2" borderId="16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80" fontId="3" fillId="3" borderId="11" xfId="0" applyNumberFormat="1" applyFont="1" applyFill="1" applyBorder="1" applyAlignment="1">
      <alignment horizontal="center" vertical="center"/>
    </xf>
    <xf numFmtId="180" fontId="3" fillId="2" borderId="11" xfId="0" applyNumberFormat="1" applyFont="1" applyFill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center" vertical="center"/>
    </xf>
    <xf numFmtId="182" fontId="3" fillId="0" borderId="35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3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2" fontId="4" fillId="0" borderId="36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82" fontId="4" fillId="0" borderId="47" xfId="0" applyNumberFormat="1" applyFont="1" applyBorder="1" applyAlignment="1">
      <alignment horizontal="right" vertical="center"/>
    </xf>
    <xf numFmtId="182" fontId="4" fillId="0" borderId="48" xfId="0" applyNumberFormat="1" applyFont="1" applyBorder="1" applyAlignment="1">
      <alignment horizontal="right" vertical="center"/>
    </xf>
    <xf numFmtId="182" fontId="4" fillId="0" borderId="46" xfId="0" applyNumberFormat="1" applyFont="1" applyBorder="1" applyAlignment="1">
      <alignment horizontal="left" vertical="center"/>
    </xf>
  </cellXfs>
  <cellStyles count="1">
    <cellStyle name="標準" xfId="0" builtinId="0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opLeftCell="A22" zoomScale="80" zoomScaleNormal="80" workbookViewId="0">
      <selection activeCell="B72" sqref="B72"/>
    </sheetView>
  </sheetViews>
  <sheetFormatPr defaultRowHeight="15.75"/>
  <cols>
    <col min="1" max="16384" width="9" style="142"/>
  </cols>
  <sheetData>
    <row r="1" spans="1:9" ht="13.5" customHeight="1">
      <c r="A1" s="238" t="s">
        <v>216</v>
      </c>
      <c r="B1" s="239"/>
      <c r="C1" s="239"/>
      <c r="D1" s="239"/>
      <c r="E1" s="239"/>
      <c r="F1" s="239"/>
      <c r="G1" s="239"/>
      <c r="H1" s="239"/>
      <c r="I1" s="239"/>
    </row>
    <row r="2" spans="1:9">
      <c r="A2" s="239"/>
      <c r="B2" s="239"/>
      <c r="C2" s="239"/>
      <c r="D2" s="239"/>
      <c r="E2" s="239"/>
      <c r="F2" s="239"/>
      <c r="G2" s="239"/>
      <c r="H2" s="239"/>
      <c r="I2" s="239"/>
    </row>
    <row r="3" spans="1:9">
      <c r="A3" s="239"/>
      <c r="B3" s="239"/>
      <c r="C3" s="239"/>
      <c r="D3" s="239"/>
      <c r="E3" s="239"/>
      <c r="F3" s="239"/>
      <c r="G3" s="239"/>
      <c r="H3" s="239"/>
      <c r="I3" s="239"/>
    </row>
    <row r="4" spans="1:9">
      <c r="A4" s="239"/>
      <c r="B4" s="239"/>
      <c r="C4" s="239"/>
      <c r="D4" s="239"/>
      <c r="E4" s="239"/>
      <c r="F4" s="239"/>
      <c r="G4" s="239"/>
      <c r="H4" s="239"/>
      <c r="I4" s="239"/>
    </row>
    <row r="5" spans="1:9">
      <c r="A5" s="239"/>
      <c r="B5" s="239"/>
      <c r="C5" s="239"/>
      <c r="D5" s="239"/>
      <c r="E5" s="239"/>
      <c r="F5" s="239"/>
      <c r="G5" s="239"/>
      <c r="H5" s="239"/>
      <c r="I5" s="239"/>
    </row>
    <row r="6" spans="1:9">
      <c r="A6" s="239"/>
      <c r="B6" s="239"/>
      <c r="C6" s="239"/>
      <c r="D6" s="239"/>
      <c r="E6" s="239"/>
      <c r="F6" s="239"/>
      <c r="G6" s="239"/>
      <c r="H6" s="239"/>
      <c r="I6" s="239"/>
    </row>
    <row r="7" spans="1:9">
      <c r="A7" s="239"/>
      <c r="B7" s="239"/>
      <c r="C7" s="239"/>
      <c r="D7" s="239"/>
      <c r="E7" s="239"/>
      <c r="F7" s="239"/>
      <c r="G7" s="239"/>
      <c r="H7" s="239"/>
      <c r="I7" s="239"/>
    </row>
    <row r="8" spans="1:9">
      <c r="A8" s="239"/>
      <c r="B8" s="239"/>
      <c r="C8" s="239"/>
      <c r="D8" s="239"/>
      <c r="E8" s="239"/>
      <c r="F8" s="239"/>
      <c r="G8" s="239"/>
      <c r="H8" s="239"/>
      <c r="I8" s="239"/>
    </row>
    <row r="9" spans="1:9">
      <c r="A9" s="239"/>
      <c r="B9" s="239"/>
      <c r="C9" s="239"/>
      <c r="D9" s="239"/>
      <c r="E9" s="239"/>
      <c r="F9" s="239"/>
      <c r="G9" s="239"/>
      <c r="H9" s="239"/>
      <c r="I9" s="239"/>
    </row>
    <row r="10" spans="1:9">
      <c r="A10" s="239"/>
      <c r="B10" s="239"/>
      <c r="C10" s="239"/>
      <c r="D10" s="239"/>
      <c r="E10" s="239"/>
      <c r="F10" s="239"/>
      <c r="G10" s="239"/>
      <c r="H10" s="239"/>
      <c r="I10" s="239"/>
    </row>
    <row r="11" spans="1:9">
      <c r="A11" s="239"/>
      <c r="B11" s="239"/>
      <c r="C11" s="239"/>
      <c r="D11" s="239"/>
      <c r="E11" s="239"/>
      <c r="F11" s="239"/>
      <c r="G11" s="239"/>
      <c r="H11" s="239"/>
      <c r="I11" s="239"/>
    </row>
    <row r="12" spans="1:9">
      <c r="A12" s="239"/>
      <c r="B12" s="239"/>
      <c r="C12" s="239"/>
      <c r="D12" s="239"/>
      <c r="E12" s="239"/>
      <c r="F12" s="239"/>
      <c r="G12" s="239"/>
      <c r="H12" s="239"/>
      <c r="I12" s="239"/>
    </row>
    <row r="13" spans="1:9">
      <c r="A13" s="239"/>
      <c r="B13" s="239"/>
      <c r="C13" s="239"/>
      <c r="D13" s="239"/>
      <c r="E13" s="239"/>
      <c r="F13" s="239"/>
      <c r="G13" s="239"/>
      <c r="H13" s="239"/>
      <c r="I13" s="239"/>
    </row>
    <row r="14" spans="1:9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>
      <c r="A16" s="239"/>
      <c r="B16" s="239"/>
      <c r="C16" s="239"/>
      <c r="D16" s="239"/>
      <c r="E16" s="239"/>
      <c r="F16" s="239"/>
      <c r="G16" s="239"/>
      <c r="H16" s="239"/>
      <c r="I16" s="239"/>
    </row>
    <row r="17" spans="1:9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>
      <c r="A19" s="239"/>
      <c r="B19" s="239"/>
      <c r="C19" s="239"/>
      <c r="D19" s="239"/>
      <c r="E19" s="239"/>
      <c r="F19" s="239"/>
      <c r="G19" s="239"/>
      <c r="H19" s="239"/>
      <c r="I19" s="239"/>
    </row>
    <row r="20" spans="1:9">
      <c r="A20" s="239"/>
      <c r="B20" s="239"/>
      <c r="C20" s="239"/>
      <c r="D20" s="239"/>
      <c r="E20" s="239"/>
      <c r="F20" s="239"/>
      <c r="G20" s="239"/>
      <c r="H20" s="239"/>
      <c r="I20" s="239"/>
    </row>
    <row r="21" spans="1:9">
      <c r="A21" s="239"/>
      <c r="B21" s="239"/>
      <c r="C21" s="239"/>
      <c r="D21" s="239"/>
      <c r="E21" s="239"/>
      <c r="F21" s="239"/>
      <c r="G21" s="239"/>
      <c r="H21" s="239"/>
      <c r="I21" s="239"/>
    </row>
    <row r="22" spans="1:9">
      <c r="A22" s="239"/>
      <c r="B22" s="239"/>
      <c r="C22" s="239"/>
      <c r="D22" s="239"/>
      <c r="E22" s="239"/>
      <c r="F22" s="239"/>
      <c r="G22" s="239"/>
      <c r="H22" s="239"/>
      <c r="I22" s="239"/>
    </row>
    <row r="23" spans="1:9">
      <c r="A23" s="239"/>
      <c r="B23" s="239"/>
      <c r="C23" s="239"/>
      <c r="D23" s="239"/>
      <c r="E23" s="239"/>
      <c r="F23" s="239"/>
      <c r="G23" s="239"/>
      <c r="H23" s="239"/>
      <c r="I23" s="239"/>
    </row>
    <row r="24" spans="1:9">
      <c r="A24" s="239"/>
      <c r="B24" s="239"/>
      <c r="C24" s="239"/>
      <c r="D24" s="239"/>
      <c r="E24" s="239"/>
      <c r="F24" s="239"/>
      <c r="G24" s="239"/>
      <c r="H24" s="239"/>
      <c r="I24" s="239"/>
    </row>
    <row r="25" spans="1:9">
      <c r="A25" s="239"/>
      <c r="B25" s="239"/>
      <c r="C25" s="239"/>
      <c r="D25" s="239"/>
      <c r="E25" s="239"/>
      <c r="F25" s="239"/>
      <c r="G25" s="239"/>
      <c r="H25" s="239"/>
      <c r="I25" s="239"/>
    </row>
    <row r="26" spans="1:9">
      <c r="A26" s="239"/>
      <c r="B26" s="239"/>
      <c r="C26" s="239"/>
      <c r="D26" s="239"/>
      <c r="E26" s="239"/>
      <c r="F26" s="239"/>
      <c r="G26" s="239"/>
      <c r="H26" s="239"/>
      <c r="I26" s="239"/>
    </row>
    <row r="27" spans="1:9">
      <c r="A27" s="239"/>
      <c r="B27" s="239"/>
      <c r="C27" s="239"/>
      <c r="D27" s="239"/>
      <c r="E27" s="239"/>
      <c r="F27" s="239"/>
      <c r="G27" s="239"/>
      <c r="H27" s="239"/>
      <c r="I27" s="239"/>
    </row>
    <row r="28" spans="1:9">
      <c r="A28" s="239"/>
      <c r="B28" s="239"/>
      <c r="C28" s="239"/>
      <c r="D28" s="239"/>
      <c r="E28" s="239"/>
      <c r="F28" s="239"/>
      <c r="G28" s="239"/>
      <c r="H28" s="239"/>
      <c r="I28" s="239"/>
    </row>
    <row r="29" spans="1:9">
      <c r="A29" s="239"/>
      <c r="B29" s="239"/>
      <c r="C29" s="239"/>
      <c r="D29" s="239"/>
      <c r="E29" s="239"/>
      <c r="F29" s="239"/>
      <c r="G29" s="239"/>
      <c r="H29" s="239"/>
      <c r="I29" s="239"/>
    </row>
    <row r="30" spans="1:9">
      <c r="A30" s="239"/>
      <c r="B30" s="239"/>
      <c r="C30" s="239"/>
      <c r="D30" s="239"/>
      <c r="E30" s="239"/>
      <c r="F30" s="239"/>
      <c r="G30" s="239"/>
      <c r="H30" s="239"/>
      <c r="I30" s="239"/>
    </row>
    <row r="31" spans="1:9">
      <c r="A31" s="239"/>
      <c r="B31" s="239"/>
      <c r="C31" s="239"/>
      <c r="D31" s="239"/>
      <c r="E31" s="239"/>
      <c r="F31" s="239"/>
      <c r="G31" s="239"/>
      <c r="H31" s="239"/>
      <c r="I31" s="239"/>
    </row>
    <row r="32" spans="1:9">
      <c r="A32" s="239"/>
      <c r="B32" s="239"/>
      <c r="C32" s="239"/>
      <c r="D32" s="239"/>
      <c r="E32" s="239"/>
      <c r="F32" s="239"/>
      <c r="G32" s="239"/>
      <c r="H32" s="239"/>
      <c r="I32" s="239"/>
    </row>
    <row r="33" spans="1:9">
      <c r="A33" s="239"/>
      <c r="B33" s="239"/>
      <c r="C33" s="239"/>
      <c r="D33" s="239"/>
      <c r="E33" s="239"/>
      <c r="F33" s="239"/>
      <c r="G33" s="239"/>
      <c r="H33" s="239"/>
      <c r="I33" s="239"/>
    </row>
    <row r="34" spans="1:9">
      <c r="A34" s="239"/>
      <c r="B34" s="239"/>
      <c r="C34" s="239"/>
      <c r="D34" s="239"/>
      <c r="E34" s="239"/>
      <c r="F34" s="239"/>
      <c r="G34" s="239"/>
      <c r="H34" s="239"/>
      <c r="I34" s="239"/>
    </row>
    <row r="35" spans="1:9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>
      <c r="A36" s="239"/>
      <c r="B36" s="239"/>
      <c r="C36" s="239"/>
      <c r="D36" s="239"/>
      <c r="E36" s="239"/>
      <c r="F36" s="239"/>
      <c r="G36" s="239"/>
      <c r="H36" s="239"/>
      <c r="I36" s="239"/>
    </row>
    <row r="37" spans="1:9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>
      <c r="A38" s="239"/>
      <c r="B38" s="239"/>
      <c r="C38" s="239"/>
      <c r="D38" s="239"/>
      <c r="E38" s="239"/>
      <c r="F38" s="239"/>
      <c r="G38" s="239"/>
      <c r="H38" s="239"/>
      <c r="I38" s="239"/>
    </row>
    <row r="39" spans="1:9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>
      <c r="A40" s="239"/>
      <c r="B40" s="239"/>
      <c r="C40" s="239"/>
      <c r="D40" s="239"/>
      <c r="E40" s="239"/>
      <c r="F40" s="239"/>
      <c r="G40" s="239"/>
      <c r="H40" s="239"/>
      <c r="I40" s="239"/>
    </row>
    <row r="41" spans="1:9">
      <c r="A41" s="239"/>
      <c r="B41" s="239"/>
      <c r="C41" s="239"/>
      <c r="D41" s="239"/>
      <c r="E41" s="239"/>
      <c r="F41" s="239"/>
      <c r="G41" s="239"/>
      <c r="H41" s="239"/>
      <c r="I41" s="239"/>
    </row>
    <row r="42" spans="1:9">
      <c r="A42" s="239"/>
      <c r="B42" s="239"/>
      <c r="C42" s="239"/>
      <c r="D42" s="239"/>
      <c r="E42" s="239"/>
      <c r="F42" s="239"/>
      <c r="G42" s="239"/>
      <c r="H42" s="239"/>
      <c r="I42" s="239"/>
    </row>
    <row r="43" spans="1:9">
      <c r="A43" s="239"/>
      <c r="B43" s="239"/>
      <c r="C43" s="239"/>
      <c r="D43" s="239"/>
      <c r="E43" s="239"/>
      <c r="F43" s="239"/>
      <c r="G43" s="239"/>
      <c r="H43" s="239"/>
      <c r="I43" s="239"/>
    </row>
    <row r="44" spans="1:9">
      <c r="A44" s="239"/>
      <c r="B44" s="239"/>
      <c r="C44" s="239"/>
      <c r="D44" s="239"/>
      <c r="E44" s="239"/>
      <c r="F44" s="239"/>
      <c r="G44" s="239"/>
      <c r="H44" s="239"/>
      <c r="I44" s="239"/>
    </row>
    <row r="45" spans="1:9">
      <c r="A45" s="239"/>
      <c r="B45" s="239"/>
      <c r="C45" s="239"/>
      <c r="D45" s="239"/>
      <c r="E45" s="239"/>
      <c r="F45" s="239"/>
      <c r="G45" s="239"/>
      <c r="H45" s="239"/>
      <c r="I45" s="239"/>
    </row>
    <row r="46" spans="1:9">
      <c r="A46" s="239"/>
      <c r="B46" s="239"/>
      <c r="C46" s="239"/>
      <c r="D46" s="239"/>
      <c r="E46" s="239"/>
      <c r="F46" s="239"/>
      <c r="G46" s="239"/>
      <c r="H46" s="239"/>
      <c r="I46" s="239"/>
    </row>
    <row r="47" spans="1:9">
      <c r="A47" s="239"/>
      <c r="B47" s="239"/>
      <c r="C47" s="239"/>
      <c r="D47" s="239"/>
      <c r="E47" s="239"/>
      <c r="F47" s="239"/>
      <c r="G47" s="239"/>
      <c r="H47" s="239"/>
      <c r="I47" s="239"/>
    </row>
    <row r="48" spans="1:9">
      <c r="A48" s="239"/>
      <c r="B48" s="239"/>
      <c r="C48" s="239"/>
      <c r="D48" s="239"/>
      <c r="E48" s="239"/>
      <c r="F48" s="239"/>
      <c r="G48" s="239"/>
      <c r="H48" s="239"/>
      <c r="I48" s="239"/>
    </row>
    <row r="49" spans="1:9">
      <c r="A49" s="239"/>
      <c r="B49" s="239"/>
      <c r="C49" s="239"/>
      <c r="D49" s="239"/>
      <c r="E49" s="239"/>
      <c r="F49" s="239"/>
      <c r="G49" s="239"/>
      <c r="H49" s="239"/>
      <c r="I49" s="239"/>
    </row>
    <row r="50" spans="1:9">
      <c r="A50" s="239"/>
      <c r="B50" s="239"/>
      <c r="C50" s="239"/>
      <c r="D50" s="239"/>
      <c r="E50" s="239"/>
      <c r="F50" s="239"/>
      <c r="G50" s="239"/>
      <c r="H50" s="239"/>
      <c r="I50" s="239"/>
    </row>
    <row r="51" spans="1:9">
      <c r="A51" s="239"/>
      <c r="B51" s="239"/>
      <c r="C51" s="239"/>
      <c r="D51" s="239"/>
      <c r="E51" s="239"/>
      <c r="F51" s="239"/>
      <c r="G51" s="239"/>
      <c r="H51" s="239"/>
      <c r="I51" s="239"/>
    </row>
    <row r="52" spans="1:9">
      <c r="A52" s="143"/>
      <c r="B52" s="143"/>
      <c r="C52" s="143"/>
      <c r="D52" s="143"/>
      <c r="E52" s="143"/>
      <c r="F52" s="143"/>
      <c r="G52" s="143"/>
      <c r="H52" s="143"/>
      <c r="I52" s="143"/>
    </row>
    <row r="53" spans="1:9">
      <c r="A53" s="143"/>
      <c r="B53" s="143"/>
      <c r="C53" s="143"/>
      <c r="D53" s="143"/>
      <c r="E53" s="143"/>
      <c r="F53" s="143"/>
      <c r="G53" s="143"/>
      <c r="H53" s="143"/>
      <c r="I53" s="143"/>
    </row>
    <row r="54" spans="1:9">
      <c r="A54" s="143"/>
      <c r="B54" s="143"/>
      <c r="C54" s="143"/>
      <c r="D54" s="143"/>
      <c r="E54" s="143"/>
      <c r="F54" s="143"/>
      <c r="G54" s="143"/>
      <c r="H54" s="143"/>
      <c r="I54" s="143"/>
    </row>
    <row r="55" spans="1:9">
      <c r="A55" s="143"/>
      <c r="B55" s="143"/>
      <c r="C55" s="143"/>
      <c r="D55" s="143"/>
      <c r="E55" s="143"/>
      <c r="F55" s="143"/>
      <c r="G55" s="143"/>
      <c r="H55" s="143"/>
      <c r="I55" s="143"/>
    </row>
    <row r="56" spans="1:9">
      <c r="A56" s="143"/>
      <c r="B56" s="143"/>
      <c r="C56" s="143"/>
      <c r="D56" s="143"/>
      <c r="E56" s="143"/>
      <c r="F56" s="143"/>
      <c r="G56" s="143"/>
      <c r="H56" s="143"/>
      <c r="I56" s="143"/>
    </row>
    <row r="57" spans="1:9">
      <c r="A57" s="143"/>
      <c r="B57" s="143"/>
      <c r="C57" s="143"/>
      <c r="D57" s="143"/>
      <c r="E57" s="143"/>
      <c r="F57" s="143"/>
      <c r="G57" s="143"/>
      <c r="H57" s="143"/>
      <c r="I57" s="143"/>
    </row>
    <row r="58" spans="1:9">
      <c r="A58" s="143"/>
      <c r="B58" s="143"/>
      <c r="C58" s="143"/>
      <c r="D58" s="143"/>
      <c r="E58" s="143"/>
      <c r="F58" s="143"/>
      <c r="G58" s="143"/>
      <c r="H58" s="143"/>
      <c r="I58" s="143"/>
    </row>
    <row r="59" spans="1:9">
      <c r="A59" s="143"/>
      <c r="B59" s="143"/>
      <c r="C59" s="143"/>
      <c r="D59" s="143"/>
      <c r="E59" s="143"/>
      <c r="F59" s="143"/>
      <c r="G59" s="143"/>
      <c r="H59" s="143"/>
      <c r="I59" s="143"/>
    </row>
  </sheetData>
  <mergeCells count="1">
    <mergeCell ref="A1:I51"/>
  </mergeCells>
  <phoneticPr fontId="1"/>
  <pageMargins left="0.7" right="0.7" top="0.75" bottom="0.75" header="0.3" footer="0.3"/>
  <pageSetup paperSize="9" orientation="portrait" r:id="rId1"/>
  <webPublishItems count="1">
    <webPublishItem id="27500" divId="計算_27500" sourceType="range" sourceRef="A1:I28" destinationFile="Z:\tomotaka.h\Krull's Lab．\記事更新関係\黒魔道士patch3.0\計算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7"/>
  <sheetViews>
    <sheetView tabSelected="1" topLeftCell="A130" zoomScaleNormal="100" workbookViewId="0">
      <selection activeCell="Z18" sqref="Z18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261</v>
      </c>
      <c r="I1" s="234" t="s">
        <v>115</v>
      </c>
      <c r="J1" s="101">
        <f>3</f>
        <v>3</v>
      </c>
      <c r="K1" s="307" t="s">
        <v>144</v>
      </c>
      <c r="L1" s="307"/>
      <c r="M1" s="101">
        <v>0</v>
      </c>
      <c r="N1" s="307" t="s">
        <v>145</v>
      </c>
      <c r="O1" s="307"/>
      <c r="P1" s="102">
        <f>H1+J1+M1</f>
        <v>264</v>
      </c>
      <c r="Q1" s="307" t="s">
        <v>116</v>
      </c>
      <c r="R1" s="307"/>
      <c r="S1" s="101">
        <v>12.5</v>
      </c>
      <c r="T1" s="234" t="s">
        <v>117</v>
      </c>
      <c r="U1" s="104">
        <f>Sheet1!B27</f>
        <v>884</v>
      </c>
      <c r="V1" s="217" t="s">
        <v>118</v>
      </c>
      <c r="W1" s="202">
        <v>218</v>
      </c>
      <c r="X1" s="203">
        <f>ROUNDDOWN(X3*0.3,0)</f>
        <v>3407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236" t="s">
        <v>107</v>
      </c>
      <c r="E3" s="173" t="s">
        <v>108</v>
      </c>
      <c r="F3" s="173" t="s">
        <v>120</v>
      </c>
      <c r="G3" s="173" t="s">
        <v>215</v>
      </c>
      <c r="H3" s="237" t="s">
        <v>107</v>
      </c>
      <c r="I3" s="173" t="s">
        <v>108</v>
      </c>
      <c r="J3" s="237" t="s">
        <v>107</v>
      </c>
      <c r="K3" s="173" t="s">
        <v>108</v>
      </c>
      <c r="L3" s="173" t="s">
        <v>119</v>
      </c>
      <c r="M3" s="237" t="s">
        <v>107</v>
      </c>
      <c r="N3" s="173" t="s">
        <v>108</v>
      </c>
      <c r="O3" s="173" t="s">
        <v>119</v>
      </c>
      <c r="P3" s="237" t="s">
        <v>107</v>
      </c>
      <c r="Q3" s="173" t="s">
        <v>108</v>
      </c>
      <c r="R3" s="173" t="s">
        <v>119</v>
      </c>
      <c r="S3" s="237" t="s">
        <v>107</v>
      </c>
      <c r="T3" s="173" t="s">
        <v>108</v>
      </c>
      <c r="U3" s="175" t="s">
        <v>119</v>
      </c>
      <c r="V3" s="235" t="s">
        <v>110</v>
      </c>
      <c r="W3" s="235" t="s">
        <v>111</v>
      </c>
      <c r="X3" s="205">
        <f>U1*S1+ROUNDDOWN((P1-W1)/W1/7.53*U1*S1,0)</f>
        <v>11359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318" t="s">
        <v>87</v>
      </c>
      <c r="T4" s="316">
        <v>30</v>
      </c>
      <c r="U4" s="317">
        <v>90</v>
      </c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11359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 t="shared" ref="B5:B15" si="0">B4+A5</f>
        <v>240</v>
      </c>
      <c r="C5" s="118">
        <f t="shared" ref="C5:C11" si="1">C4+G5</f>
        <v>2.83</v>
      </c>
      <c r="D5" s="181" t="s">
        <v>12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2.83</v>
      </c>
      <c r="H5" s="183" t="s">
        <v>122</v>
      </c>
      <c r="I5" s="182">
        <v>10</v>
      </c>
      <c r="M5" s="183" t="s">
        <v>97</v>
      </c>
      <c r="O5" s="182">
        <v>120</v>
      </c>
      <c r="S5" s="183" t="s">
        <v>87</v>
      </c>
      <c r="T5" s="182">
        <f>T4-G5</f>
        <v>27.17</v>
      </c>
      <c r="U5" s="184">
        <f>U4-G5</f>
        <v>87.17</v>
      </c>
      <c r="V5" s="201">
        <f>IF(H4="AFIII",VLOOKUP(D5,Sheet1!$A$4:$H$18,5,FALSE),IF(H4="UBIII",VLOOKUP(D5,Sheet1!$A$4:$H$18,8,FALSE),IF(H4="",VLOOKUP(D5,Sheet1!$A$4:$H$18,2,FALSE),"0")))</f>
        <v>1060</v>
      </c>
      <c r="W5" s="201">
        <f t="shared" ref="W5:W15" si="2">IF(H4="UBIII",$X$2,0)</f>
        <v>0</v>
      </c>
      <c r="X5" s="208">
        <f t="shared" ref="X5:X11" si="3">IF(M5="コンバート",(IF(D5="フレア",0,IF(X4-V5+W5&gt;$X$3,$X$3-V5,X4-V5+W5)))+$X$1,IF(D5="フレア",0,IF(X4-V5+W5&gt;$X$3,$X$3-V5,X4-V5+W5)))</f>
        <v>10299</v>
      </c>
      <c r="Y5" s="171" t="str">
        <f t="shared" ref="Y5:Y15" si="4">IF(X4-V5&lt;0,"ERROR","SUCCESS")</f>
        <v>SUCCESS</v>
      </c>
      <c r="Z5" s="171" t="str">
        <f t="shared" ref="Z5:Z15" si="5">IF(K4-G5&lt;0,"ERROR","SUCCESS")</f>
        <v>ERROR</v>
      </c>
      <c r="AA5" s="185">
        <f t="shared" ref="AA5:AA15" si="6">B5/C5</f>
        <v>84.805653710247341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168</v>
      </c>
      <c r="B6" s="113">
        <f t="shared" si="0"/>
        <v>408</v>
      </c>
      <c r="C6" s="118">
        <f t="shared" si="1"/>
        <v>4.8599999999999994</v>
      </c>
      <c r="D6" s="181" t="s">
        <v>4</v>
      </c>
      <c r="E6" s="182">
        <f>IF(H5="AFIII",VLOOKUP($D6,Sheet1!$A$34:$K$48,5,FALSE),IF(H5="UBIII",VLOOKUP($D6,Sheet1!$A$34:$K$48,8,FALSE),VLOOKUP($D6,Sheet1!$A$34:$K$48,2,FALSE)))</f>
        <v>1.67</v>
      </c>
      <c r="F6" s="182">
        <f>ROUNDDOWN((IF(H5="AFIII",VLOOKUP($D6,Sheet1!$A$34:$K$48,5,FALSE),IF(H5="UBIII",VLOOKUP($D6,Sheet1!$A$34:$K$48,8,FALSE),VLOOKUP($D6,Sheet1!$A$34:$K$48,2,FALSE))))*0.85,2)</f>
        <v>1.41</v>
      </c>
      <c r="G6" s="182">
        <f t="shared" ref="G6" si="7">IF(M5="迅速",IF(S5="黒魔紋",$F$1,$E$1),IF(S5="黒魔紋",IF(F6&lt;$F$1,$F$1,F6),IF(E6&lt;$E$1,$E$1,E6)))</f>
        <v>2.0299999999999998</v>
      </c>
      <c r="H6" s="183" t="s">
        <v>84</v>
      </c>
      <c r="I6" s="182">
        <v>10</v>
      </c>
      <c r="J6" s="183" t="s">
        <v>105</v>
      </c>
      <c r="K6" s="182">
        <v>30</v>
      </c>
      <c r="L6" s="182">
        <v>60</v>
      </c>
      <c r="S6" s="183" t="s">
        <v>87</v>
      </c>
      <c r="T6" s="182">
        <f t="shared" ref="T6:T15" si="8">T5-G6</f>
        <v>25.14</v>
      </c>
      <c r="U6" s="184">
        <f t="shared" ref="U6:U15" si="9">U5-G6</f>
        <v>85.14</v>
      </c>
      <c r="V6" s="201">
        <f>IF(H5="AFIII",VLOOKUP(D6,Sheet1!$A$4:$H$18,5,FALSE),IF(H5="UBIII",VLOOKUP(D6,Sheet1!$A$4:$H$18,8,FALSE),IF(H5="",VLOOKUP(D6,Sheet1!$A$4:$H$18,2,FALSE),"0")))</f>
        <v>442</v>
      </c>
      <c r="W6" s="201">
        <f t="shared" si="2"/>
        <v>7033</v>
      </c>
      <c r="X6" s="208">
        <f t="shared" si="3"/>
        <v>10917</v>
      </c>
      <c r="Y6" s="171" t="str">
        <f t="shared" si="4"/>
        <v>SUCCESS</v>
      </c>
      <c r="Z6" s="171" t="str">
        <f t="shared" si="5"/>
        <v>ERROR</v>
      </c>
      <c r="AA6" s="185">
        <f t="shared" si="6"/>
        <v>83.950617283950621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504</v>
      </c>
      <c r="B7" s="113">
        <f t="shared" si="0"/>
        <v>912</v>
      </c>
      <c r="C7" s="118">
        <f t="shared" si="1"/>
        <v>7.2899999999999991</v>
      </c>
      <c r="D7" s="181" t="s">
        <v>6</v>
      </c>
      <c r="E7" s="182">
        <f>IF(H6="AFIII",VLOOKUP($D7,Sheet1!$A$34:$K$48,5,FALSE),IF(H6="UBIII",VLOOKUP($D7,Sheet1!$A$34:$K$48,8,FALSE),VLOOKUP($D7,Sheet1!$A$34:$K$48,2,FALSE)))</f>
        <v>2.86</v>
      </c>
      <c r="F7" s="182">
        <f>ROUNDDOWN((IF(H6="AFIII",VLOOKUP($D7,Sheet1!$A$34:$K$48,5,FALSE),IF(H6="UBIII",VLOOKUP($D7,Sheet1!$A$34:$K$48,8,FALSE),VLOOKUP($D7,Sheet1!$A$34:$K$48,2,FALSE))))*0.85,2)</f>
        <v>2.4300000000000002</v>
      </c>
      <c r="G7" s="182">
        <f>IF(M6="迅速",IF(S6="黒魔紋",$F$1,$E$1),IF(S6="黒魔紋",IF(F7&lt;$F$1,$F$1,F7),IF(E7&lt;$E$1,$E$1,E7)))</f>
        <v>2.4300000000000002</v>
      </c>
      <c r="H7" s="183" t="s">
        <v>84</v>
      </c>
      <c r="I7" s="182">
        <f>I6-G7</f>
        <v>7.57</v>
      </c>
      <c r="K7" s="182">
        <f>K6-G7</f>
        <v>27.57</v>
      </c>
      <c r="L7" s="182">
        <f>L6-G7</f>
        <v>57.57</v>
      </c>
      <c r="M7" s="183" t="s">
        <v>96</v>
      </c>
      <c r="N7" s="182">
        <v>20</v>
      </c>
      <c r="O7" s="182">
        <v>180</v>
      </c>
      <c r="S7" s="183" t="s">
        <v>87</v>
      </c>
      <c r="T7" s="182">
        <f t="shared" si="8"/>
        <v>22.71</v>
      </c>
      <c r="U7" s="184">
        <f t="shared" si="9"/>
        <v>82.71</v>
      </c>
      <c r="V7" s="201">
        <f>IF(H6="AFIII",VLOOKUP(D7,Sheet1!$A$4:$H$18,5,FALSE),IF(H6="UBIII",VLOOKUP(D7,Sheet1!$A$4:$H$18,8,FALSE),IF(H6="",VLOOKUP(D7,Sheet1!$A$4:$H$18,2,FALSE),"0")))</f>
        <v>1768</v>
      </c>
      <c r="W7" s="201">
        <f t="shared" si="2"/>
        <v>0</v>
      </c>
      <c r="X7" s="208">
        <f t="shared" si="3"/>
        <v>9149</v>
      </c>
      <c r="Y7" s="171" t="str">
        <f t="shared" si="4"/>
        <v>SUCCESS</v>
      </c>
      <c r="Z7" s="171" t="str">
        <f t="shared" si="5"/>
        <v>SUCCESS</v>
      </c>
      <c r="AA7" s="185">
        <f t="shared" si="6"/>
        <v>125.10288065843623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604</v>
      </c>
      <c r="B8" s="113">
        <f t="shared" si="0"/>
        <v>1516</v>
      </c>
      <c r="C8" s="118">
        <f t="shared" si="1"/>
        <v>9.7199999999999989</v>
      </c>
      <c r="D8" s="181" t="s">
        <v>6</v>
      </c>
      <c r="E8" s="182">
        <f>IF(H7="AFIII",VLOOKUP($D8,Sheet1!$A$34:$K$48,5,FALSE),IF(H7="UBIII",VLOOKUP($D8,Sheet1!$A$34:$K$48,8,FALSE),VLOOKUP($D8,Sheet1!$A$34:$K$48,2,FALSE)))</f>
        <v>2.86</v>
      </c>
      <c r="F8" s="182">
        <f>ROUNDDOWN((IF(H7="AFIII",VLOOKUP($D8,Sheet1!$A$34:$K$48,5,FALSE),IF(H7="UBIII",VLOOKUP($D8,Sheet1!$A$34:$K$48,8,FALSE),VLOOKUP($D8,Sheet1!$A$34:$K$48,2,FALSE))))*0.85,2)</f>
        <v>2.4300000000000002</v>
      </c>
      <c r="G8" s="182">
        <f t="shared" ref="G8:G13" si="10">IF(M7="迅速",IF(S7="黒魔紋",$F$1,$E$1),IF(S7="黒魔紋",IF(F8&lt;$F$1,$F$1,F8),IF(E8&lt;$E$1,$E$1,E8)))</f>
        <v>2.4300000000000002</v>
      </c>
      <c r="H8" s="183" t="s">
        <v>84</v>
      </c>
      <c r="I8" s="182">
        <f t="shared" ref="I8" si="11">I7-G8</f>
        <v>5.1400000000000006</v>
      </c>
      <c r="K8" s="182">
        <f t="shared" ref="K8:K9" si="12">K7-G8</f>
        <v>25.14</v>
      </c>
      <c r="L8" s="182">
        <f t="shared" ref="L8:L9" si="13">L7-G8</f>
        <v>55.14</v>
      </c>
      <c r="N8" s="182">
        <f>N7-G8</f>
        <v>17.57</v>
      </c>
      <c r="O8" s="182">
        <f>O7-G8</f>
        <v>177.57</v>
      </c>
      <c r="P8" s="183" t="s">
        <v>131</v>
      </c>
      <c r="R8" s="182">
        <v>60</v>
      </c>
      <c r="S8" s="183" t="s">
        <v>87</v>
      </c>
      <c r="T8" s="182">
        <f t="shared" si="8"/>
        <v>20.28</v>
      </c>
      <c r="U8" s="184">
        <f t="shared" si="9"/>
        <v>80.279999999999987</v>
      </c>
      <c r="V8" s="201">
        <f>IF(H7="AFIII",VLOOKUP(D8,Sheet1!$A$4:$H$18,5,FALSE),IF(H7="UBIII",VLOOKUP(D8,Sheet1!$A$4:$H$18,8,FALSE),IF(H7="",VLOOKUP(D8,Sheet1!$A$4:$H$18,2,FALSE),"0")))</f>
        <v>1768</v>
      </c>
      <c r="W8" s="201">
        <f t="shared" si="2"/>
        <v>0</v>
      </c>
      <c r="X8" s="208">
        <f t="shared" si="3"/>
        <v>7381</v>
      </c>
      <c r="Y8" s="171" t="str">
        <f t="shared" si="4"/>
        <v>SUCCESS</v>
      </c>
      <c r="Z8" s="171" t="str">
        <f t="shared" si="5"/>
        <v>SUCCESS</v>
      </c>
      <c r="AA8" s="185">
        <f t="shared" si="6"/>
        <v>155.96707818930042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388</v>
      </c>
      <c r="B9" s="113">
        <f t="shared" si="0"/>
        <v>1904</v>
      </c>
      <c r="C9" s="118">
        <f t="shared" si="1"/>
        <v>11.749999999999998</v>
      </c>
      <c r="D9" s="181" t="s">
        <v>1</v>
      </c>
      <c r="E9" s="182">
        <f>IF(H8="AFIII",VLOOKUP($D9,Sheet1!$A$34:$K$48,5,FALSE),IF(H8="UBIII",VLOOKUP($D9,Sheet1!$A$34:$K$48,8,FALSE),VLOOKUP($D9,Sheet1!$A$34:$K$48,2,FALSE)))</f>
        <v>2.39</v>
      </c>
      <c r="F9" s="182">
        <f>ROUNDDOWN((IF(H8="AFIII",VLOOKUP($D9,Sheet1!$A$34:$K$48,5,FALSE),IF(H8="UBIII",VLOOKUP($D9,Sheet1!$A$34:$K$48,8,FALSE),VLOOKUP($D9,Sheet1!$A$34:$K$48,2,FALSE))))*0.85,2)</f>
        <v>2.0299999999999998</v>
      </c>
      <c r="G9" s="182">
        <f t="shared" si="10"/>
        <v>2.0299999999999998</v>
      </c>
      <c r="H9" s="183" t="s">
        <v>84</v>
      </c>
      <c r="I9" s="182">
        <v>10</v>
      </c>
      <c r="K9" s="182">
        <f t="shared" si="12"/>
        <v>23.11</v>
      </c>
      <c r="L9" s="182">
        <f t="shared" si="13"/>
        <v>53.11</v>
      </c>
      <c r="N9" s="182">
        <f t="shared" ref="N9" si="14">N8-G9</f>
        <v>15.540000000000001</v>
      </c>
      <c r="O9" s="182">
        <f t="shared" ref="O9:O15" si="15">O8-G9</f>
        <v>175.54</v>
      </c>
      <c r="R9" s="182">
        <f t="shared" ref="R9:R11" si="16">R8-G9</f>
        <v>57.97</v>
      </c>
      <c r="S9" s="183" t="s">
        <v>87</v>
      </c>
      <c r="T9" s="182">
        <f t="shared" si="8"/>
        <v>18.25</v>
      </c>
      <c r="U9" s="184">
        <f t="shared" si="9"/>
        <v>78.249999999999986</v>
      </c>
      <c r="V9" s="201">
        <f>IF(H8="AFIII",VLOOKUP(D9,Sheet1!$A$4:$H$18,5,FALSE),IF(H8="UBIII",VLOOKUP(D9,Sheet1!$A$4:$H$18,8,FALSE),IF(H8="",VLOOKUP(D9,Sheet1!$A$4:$H$18,2,FALSE),"0")))</f>
        <v>2120</v>
      </c>
      <c r="W9" s="201">
        <f t="shared" si="2"/>
        <v>0</v>
      </c>
      <c r="X9" s="208">
        <f t="shared" si="3"/>
        <v>5261</v>
      </c>
      <c r="Y9" s="171" t="str">
        <f t="shared" si="4"/>
        <v>SUCCESS</v>
      </c>
      <c r="Z9" s="171" t="str">
        <f t="shared" si="5"/>
        <v>SUCCESS</v>
      </c>
      <c r="AA9" s="185">
        <f t="shared" si="6"/>
        <v>162.04255319148939</v>
      </c>
    </row>
    <row r="10" spans="1:27">
      <c r="A10" s="11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604</v>
      </c>
      <c r="B10" s="113">
        <f t="shared" si="0"/>
        <v>2508</v>
      </c>
      <c r="C10" s="118">
        <f t="shared" si="1"/>
        <v>14.179999999999998</v>
      </c>
      <c r="D10" s="181" t="s">
        <v>6</v>
      </c>
      <c r="E10" s="182">
        <f>IF(H9="AFIII",VLOOKUP($D10,Sheet1!$A$34:$K$48,5,FALSE),IF(H9="UBIII",VLOOKUP($D10,Sheet1!$A$34:$K$48,8,FALSE),VLOOKUP($D10,Sheet1!$A$34:$K$48,2,FALSE)))</f>
        <v>2.86</v>
      </c>
      <c r="F10" s="182">
        <f>ROUNDDOWN((IF(H9="AFIII",VLOOKUP($D10,Sheet1!$A$34:$K$48,5,FALSE),IF(H9="UBIII",VLOOKUP($D10,Sheet1!$A$34:$K$48,8,FALSE),VLOOKUP($D10,Sheet1!$A$34:$K$48,2,FALSE))))*0.85,2)</f>
        <v>2.4300000000000002</v>
      </c>
      <c r="G10" s="182">
        <f t="shared" si="10"/>
        <v>2.4300000000000002</v>
      </c>
      <c r="H10" s="183" t="s">
        <v>84</v>
      </c>
      <c r="I10" s="182">
        <f>I9-G10</f>
        <v>7.57</v>
      </c>
      <c r="K10" s="182">
        <f>K9-G10</f>
        <v>20.68</v>
      </c>
      <c r="L10" s="182">
        <f>L9-G10</f>
        <v>50.68</v>
      </c>
      <c r="N10" s="182">
        <f>N9-G10</f>
        <v>13.110000000000001</v>
      </c>
      <c r="O10" s="182">
        <f t="shared" si="15"/>
        <v>173.10999999999999</v>
      </c>
      <c r="R10" s="182">
        <f t="shared" si="16"/>
        <v>55.54</v>
      </c>
      <c r="S10" s="183" t="s">
        <v>87</v>
      </c>
      <c r="T10" s="182">
        <f t="shared" si="8"/>
        <v>15.82</v>
      </c>
      <c r="U10" s="184">
        <f t="shared" si="9"/>
        <v>75.819999999999979</v>
      </c>
      <c r="V10" s="201">
        <f>IF(H9="AFIII",VLOOKUP(D10,Sheet1!$A$4:$H$18,5,FALSE),IF(H9="UBIII",VLOOKUP(D10,Sheet1!$A$4:$H$18,8,FALSE),IF(H9="",VLOOKUP(D10,Sheet1!$A$4:$H$18,2,FALSE),"0")))</f>
        <v>1768</v>
      </c>
      <c r="W10" s="201">
        <f t="shared" si="2"/>
        <v>0</v>
      </c>
      <c r="X10" s="208">
        <f t="shared" si="3"/>
        <v>3493</v>
      </c>
      <c r="Y10" s="171" t="str">
        <f t="shared" si="4"/>
        <v>SUCCESS</v>
      </c>
      <c r="Z10" s="171" t="str">
        <f t="shared" si="5"/>
        <v>SUCCESS</v>
      </c>
      <c r="AA10" s="185">
        <f t="shared" si="6"/>
        <v>176.86882933709452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604</v>
      </c>
      <c r="B11" s="113">
        <f t="shared" si="0"/>
        <v>3112</v>
      </c>
      <c r="C11" s="118">
        <f t="shared" si="1"/>
        <v>16.61</v>
      </c>
      <c r="D11" s="181" t="s">
        <v>6</v>
      </c>
      <c r="E11" s="182">
        <f>IF(H10="AFIII",VLOOKUP($D11,Sheet1!$A$34:$K$48,5,FALSE),IF(H10="UBIII",VLOOKUP($D11,Sheet1!$A$34:$K$48,8,FALSE),VLOOKUP($D11,Sheet1!$A$34:$K$48,2,FALSE)))</f>
        <v>2.86</v>
      </c>
      <c r="F11" s="182">
        <f>ROUNDDOWN((IF(H10="AFIII",VLOOKUP($D11,Sheet1!$A$34:$K$48,5,FALSE),IF(H10="UBIII",VLOOKUP($D11,Sheet1!$A$34:$K$48,8,FALSE),VLOOKUP($D11,Sheet1!$A$34:$K$48,2,FALSE))))*0.85,2)</f>
        <v>2.4300000000000002</v>
      </c>
      <c r="G11" s="182">
        <f t="shared" si="10"/>
        <v>2.4300000000000002</v>
      </c>
      <c r="H11" s="183" t="s">
        <v>84</v>
      </c>
      <c r="I11" s="182">
        <f>I10-G11</f>
        <v>5.1400000000000006</v>
      </c>
      <c r="K11" s="182">
        <f t="shared" ref="K11:K15" si="17">K10-G11</f>
        <v>18.25</v>
      </c>
      <c r="L11" s="182">
        <f t="shared" ref="L11:L15" si="18">L10-G11</f>
        <v>48.25</v>
      </c>
      <c r="N11" s="182">
        <f t="shared" ref="N11:N15" si="19">N10-G11</f>
        <v>10.680000000000001</v>
      </c>
      <c r="O11" s="182">
        <f t="shared" si="15"/>
        <v>170.67999999999998</v>
      </c>
      <c r="R11" s="182">
        <f t="shared" si="16"/>
        <v>53.11</v>
      </c>
      <c r="S11" s="183" t="s">
        <v>87</v>
      </c>
      <c r="T11" s="182">
        <f t="shared" si="8"/>
        <v>13.39</v>
      </c>
      <c r="U11" s="184">
        <f t="shared" si="9"/>
        <v>73.389999999999972</v>
      </c>
      <c r="V11" s="201">
        <f>IF(H10="AFIII",VLOOKUP(D11,Sheet1!$A$4:$H$18,5,FALSE),IF(H10="UBIII",VLOOKUP(D11,Sheet1!$A$4:$H$18,8,FALSE),IF(H10="",VLOOKUP(D11,Sheet1!$A$4:$H$18,2,FALSE),"0")))</f>
        <v>1768</v>
      </c>
      <c r="W11" s="201">
        <f t="shared" si="2"/>
        <v>0</v>
      </c>
      <c r="X11" s="208">
        <f t="shared" si="3"/>
        <v>1725</v>
      </c>
      <c r="Y11" s="171" t="str">
        <f t="shared" si="4"/>
        <v>SUCCESS</v>
      </c>
      <c r="Z11" s="171" t="str">
        <f t="shared" si="5"/>
        <v>SUCCESS</v>
      </c>
      <c r="AA11" s="185">
        <f t="shared" si="6"/>
        <v>187.35701384708008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518</v>
      </c>
      <c r="B12" s="113">
        <f t="shared" si="0"/>
        <v>3630</v>
      </c>
      <c r="C12" s="118">
        <f>C11+G12</f>
        <v>18.64</v>
      </c>
      <c r="D12" s="181" t="s">
        <v>129</v>
      </c>
      <c r="E12" s="182">
        <f>IF(H11="AFIII",VLOOKUP($D12,Sheet1!$A$34:$K$48,5,FALSE),IF(H11="UBIII",VLOOKUP($D12,Sheet1!$A$34:$K$48,8,FALSE),VLOOKUP($D12,Sheet1!$A$34:$K$48,2,FALSE)))</f>
        <v>2.39</v>
      </c>
      <c r="F12" s="182">
        <f>ROUNDDOWN((IF(H11="AFIII",VLOOKUP($D12,Sheet1!$A$34:$K$48,5,FALSE),IF(H11="UBIII",VLOOKUP($D12,Sheet1!$A$34:$K$48,8,FALSE),VLOOKUP($D12,Sheet1!$A$34:$K$48,2,FALSE))))*0.85,2)</f>
        <v>2.0299999999999998</v>
      </c>
      <c r="G12" s="182">
        <f t="shared" si="10"/>
        <v>2.0299999999999998</v>
      </c>
      <c r="H12" s="183" t="s">
        <v>84</v>
      </c>
      <c r="I12" s="182">
        <v>10</v>
      </c>
      <c r="K12" s="182">
        <f t="shared" si="17"/>
        <v>16.22</v>
      </c>
      <c r="L12" s="182">
        <f t="shared" si="18"/>
        <v>46.22</v>
      </c>
      <c r="M12" s="183" t="s">
        <v>100</v>
      </c>
      <c r="N12" s="182">
        <f t="shared" si="19"/>
        <v>8.6500000000000021</v>
      </c>
      <c r="O12" s="182">
        <f t="shared" si="15"/>
        <v>168.64999999999998</v>
      </c>
      <c r="R12" s="182">
        <f>R11-G12</f>
        <v>51.08</v>
      </c>
      <c r="S12" s="183" t="s">
        <v>87</v>
      </c>
      <c r="T12" s="182">
        <f t="shared" si="8"/>
        <v>11.360000000000001</v>
      </c>
      <c r="U12" s="184">
        <f t="shared" si="9"/>
        <v>71.359999999999971</v>
      </c>
      <c r="V12" s="201">
        <f>IF(H11="AFIII",VLOOKUP(D12,Sheet1!$A$4:$H$18,5,FALSE),IF(H11="UBIII",VLOOKUP(D12,Sheet1!$A$4:$H$18,8,FALSE),IF(H11="",VLOOKUP(D12,Sheet1!$A$4:$H$18,2,FALSE),"0")))</f>
        <v>0</v>
      </c>
      <c r="W12" s="201">
        <f t="shared" si="2"/>
        <v>0</v>
      </c>
      <c r="X12" s="208">
        <f>IF(M12="コンバート",(IF(D12="フレア",0,IF(X11-V12+W12&gt;$X$3,$X$3-V12,X11-V12+W12)))+$X$1,IF(D12="フレア",0,IF(X11-V12+W12&gt;$X$3,$X$3-V12,X11-V12+W12)))</f>
        <v>5132</v>
      </c>
      <c r="Y12" s="171" t="str">
        <f t="shared" si="4"/>
        <v>SUCCESS</v>
      </c>
      <c r="Z12" s="171" t="str">
        <f t="shared" si="5"/>
        <v>SUCCESS</v>
      </c>
      <c r="AA12" s="185">
        <f t="shared" si="6"/>
        <v>194.74248927038627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0"/>
        <v>4234</v>
      </c>
      <c r="C13" s="118">
        <f>C12+G13</f>
        <v>21.07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10"/>
        <v>2.4300000000000002</v>
      </c>
      <c r="H13" s="183" t="s">
        <v>84</v>
      </c>
      <c r="I13" s="182">
        <f>I12-G13</f>
        <v>7.57</v>
      </c>
      <c r="K13" s="182">
        <f t="shared" si="17"/>
        <v>13.79</v>
      </c>
      <c r="L13" s="182">
        <f t="shared" si="18"/>
        <v>43.79</v>
      </c>
      <c r="N13" s="182">
        <f t="shared" si="19"/>
        <v>6.2200000000000024</v>
      </c>
      <c r="O13" s="182">
        <f t="shared" si="15"/>
        <v>166.21999999999997</v>
      </c>
      <c r="R13" s="182">
        <f>R12-G13</f>
        <v>48.65</v>
      </c>
      <c r="S13" s="183" t="s">
        <v>87</v>
      </c>
      <c r="T13" s="182">
        <f t="shared" si="8"/>
        <v>8.9300000000000015</v>
      </c>
      <c r="U13" s="184">
        <f t="shared" si="9"/>
        <v>68.929999999999964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2"/>
        <v>0</v>
      </c>
      <c r="X13" s="208">
        <f t="shared" ref="X13:X15" si="20">IF(M13="コンバート",(IF(D13="フレア",0,IF(X12-V13+W13&gt;$X$3,$X$3-V13,X12-V13+W13)))+$X$1,IF(D13="フレア",0,IF(X12-V13+W13&gt;$X$3,$X$3-V13,X12-V13+W13)))</f>
        <v>3364</v>
      </c>
      <c r="Y13" s="171" t="str">
        <f t="shared" si="4"/>
        <v>SUCCESS</v>
      </c>
      <c r="Z13" s="171" t="str">
        <f t="shared" si="5"/>
        <v>SUCCESS</v>
      </c>
      <c r="AA13" s="185">
        <f t="shared" si="6"/>
        <v>200.94921689606073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604</v>
      </c>
      <c r="B14" s="113">
        <f t="shared" si="0"/>
        <v>4838</v>
      </c>
      <c r="C14" s="118">
        <f t="shared" ref="C14:C15" si="21">C13+G14</f>
        <v>23.5</v>
      </c>
      <c r="D14" s="181" t="s">
        <v>6</v>
      </c>
      <c r="E14" s="182">
        <f>IF(H13="AFIII",VLOOKUP($D14,Sheet1!$A$34:$K$48,5,FALSE),IF(H13="UBIII",VLOOKUP($D14,Sheet1!$A$34:$K$48,8,FALSE),VLOOKUP($D14,Sheet1!$A$34:$K$48,2,FALSE)))</f>
        <v>2.86</v>
      </c>
      <c r="F14" s="182">
        <f>ROUNDDOWN((IF(H13="AFIII",VLOOKUP($D14,Sheet1!$A$34:$K$48,5,FALSE),IF(H13="UBIII",VLOOKUP($D14,Sheet1!$A$34:$K$48,8,FALSE),VLOOKUP($D14,Sheet1!$A$34:$K$48,2,FALSE))))*0.85,2)</f>
        <v>2.4300000000000002</v>
      </c>
      <c r="G14" s="182">
        <f>IF(M13="迅速",IF(S13="黒魔紋",$F$1,$E$1),IF(S13="黒魔紋",IF(F14&lt;$F$1,$F$1,F14),IF(E14&lt;$E$1,$E$1,E14)))</f>
        <v>2.4300000000000002</v>
      </c>
      <c r="H14" s="183" t="s">
        <v>84</v>
      </c>
      <c r="I14" s="182">
        <f>I13-G14</f>
        <v>5.1400000000000006</v>
      </c>
      <c r="K14" s="182">
        <f t="shared" si="17"/>
        <v>11.36</v>
      </c>
      <c r="L14" s="182">
        <f t="shared" si="18"/>
        <v>41.36</v>
      </c>
      <c r="N14" s="182">
        <f t="shared" si="19"/>
        <v>3.7900000000000023</v>
      </c>
      <c r="O14" s="182">
        <f t="shared" si="15"/>
        <v>163.78999999999996</v>
      </c>
      <c r="R14" s="182">
        <f t="shared" ref="R14:R15" si="22">R13-G14</f>
        <v>46.22</v>
      </c>
      <c r="S14" s="183" t="s">
        <v>87</v>
      </c>
      <c r="T14" s="182">
        <f t="shared" si="8"/>
        <v>6.5000000000000018</v>
      </c>
      <c r="U14" s="184">
        <f t="shared" si="9"/>
        <v>66.499999999999957</v>
      </c>
      <c r="V14" s="201">
        <f>IF(H13="AFIII",VLOOKUP(D14,Sheet1!$A$4:$H$18,5,FALSE),IF(H13="UBIII",VLOOKUP(D14,Sheet1!$A$4:$H$18,8,FALSE),IF(H13="",VLOOKUP(D14,Sheet1!$A$4:$H$18,2,FALSE),"0")))</f>
        <v>1768</v>
      </c>
      <c r="W14" s="201">
        <f t="shared" si="2"/>
        <v>0</v>
      </c>
      <c r="X14" s="208">
        <f t="shared" si="20"/>
        <v>1596</v>
      </c>
      <c r="Y14" s="171" t="str">
        <f t="shared" si="4"/>
        <v>SUCCESS</v>
      </c>
      <c r="Z14" s="171" t="str">
        <f t="shared" si="5"/>
        <v>SUCCESS</v>
      </c>
      <c r="AA14" s="185">
        <f t="shared" si="6"/>
        <v>205.87234042553192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201</v>
      </c>
      <c r="B15" s="113">
        <f t="shared" si="0"/>
        <v>5039</v>
      </c>
      <c r="C15" s="118">
        <f t="shared" si="21"/>
        <v>25.53</v>
      </c>
      <c r="D15" s="181" t="s">
        <v>12</v>
      </c>
      <c r="E15" s="182">
        <f>IF(H14="AFIII",VLOOKUP($D15,Sheet1!$A$34:$K$48,5,FALSE),IF(H14="UBIII",VLOOKUP($D15,Sheet1!$A$34:$K$48,8,FALSE),VLOOKUP($D15,Sheet1!$A$34:$K$48,2,FALSE)))</f>
        <v>1.67</v>
      </c>
      <c r="F15" s="182">
        <f>ROUNDDOWN((IF(H14="AFIII",VLOOKUP($D15,Sheet1!$A$34:$K$48,5,FALSE),IF(H14="UBIII",VLOOKUP($D15,Sheet1!$A$34:$K$48,8,FALSE),VLOOKUP($D15,Sheet1!$A$34:$K$48,2,FALSE))))*0.85,2)</f>
        <v>1.41</v>
      </c>
      <c r="G15" s="182">
        <f>IF(M14="迅速",IF(S14="黒魔紋",$F$1,$E$1),IF(S14="黒魔紋",IF(F15&lt;$F$1,$F$1,F15),IF(E15&lt;$E$1,$E$1,E15)))</f>
        <v>2.0299999999999998</v>
      </c>
      <c r="H15" s="183" t="s">
        <v>122</v>
      </c>
      <c r="I15" s="182">
        <v>10</v>
      </c>
      <c r="K15" s="182">
        <f t="shared" si="17"/>
        <v>9.33</v>
      </c>
      <c r="L15" s="182">
        <f t="shared" si="18"/>
        <v>39.33</v>
      </c>
      <c r="N15" s="182">
        <f t="shared" si="19"/>
        <v>1.7600000000000025</v>
      </c>
      <c r="O15" s="182">
        <f t="shared" si="15"/>
        <v>161.75999999999996</v>
      </c>
      <c r="R15" s="182">
        <f t="shared" si="22"/>
        <v>44.19</v>
      </c>
      <c r="S15" s="183" t="s">
        <v>87</v>
      </c>
      <c r="T15" s="182">
        <f t="shared" si="8"/>
        <v>4.4700000000000024</v>
      </c>
      <c r="U15" s="184">
        <f t="shared" si="9"/>
        <v>64.469999999999956</v>
      </c>
      <c r="V15" s="201">
        <f>IF(H14="AFIII",VLOOKUP(D15,Sheet1!$A$4:$H$18,5,FALSE),IF(H14="UBIII",VLOOKUP(D15,Sheet1!$A$4:$H$18,8,FALSE),IF(H14="",VLOOKUP(D15,Sheet1!$A$4:$H$18,2,FALSE),"0")))</f>
        <v>265</v>
      </c>
      <c r="W15" s="201">
        <f t="shared" si="2"/>
        <v>0</v>
      </c>
      <c r="X15" s="208">
        <f t="shared" si="20"/>
        <v>1331</v>
      </c>
      <c r="Y15" s="171" t="str">
        <f t="shared" si="4"/>
        <v>SUCCESS</v>
      </c>
      <c r="Z15" s="171" t="str">
        <f t="shared" si="5"/>
        <v>SUCCESS</v>
      </c>
      <c r="AA15" s="185">
        <f t="shared" si="6"/>
        <v>197.37563650607129</v>
      </c>
    </row>
    <row r="16" spans="1:27">
      <c r="A16" s="119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280</v>
      </c>
      <c r="B16" s="120">
        <f>B15+A16</f>
        <v>5319</v>
      </c>
      <c r="C16" s="121">
        <f>C15+G16</f>
        <v>27.96</v>
      </c>
      <c r="D16" s="191" t="s">
        <v>14</v>
      </c>
      <c r="E16" s="192">
        <f>IF(H15="AFIII",VLOOKUP($D16,Sheet1!$A$34:$K$48,5,FALSE),IF(H15="UBIII",VLOOKUP($D16,Sheet1!$A$34:$K$48,8,FALSE),VLOOKUP($D16,Sheet1!$A$34:$K$48,2,FALSE)))</f>
        <v>2.86</v>
      </c>
      <c r="F16" s="192">
        <f>ROUNDDOWN((IF(H15="AFIII",VLOOKUP($D16,Sheet1!$A$34:$K$48,5,FALSE),IF(H15="UBIII",VLOOKUP($D16,Sheet1!$A$34:$K$48,8,FALSE),VLOOKUP($D16,Sheet1!$A$34:$K$48,2,FALSE))))*0.85,2)</f>
        <v>2.4300000000000002</v>
      </c>
      <c r="G16" s="192">
        <f>IF(M15="迅速",IF(S15="黒魔紋",$F$1,$E$1),IF(S15="黒魔紋",IF(F16&lt;$F$1,$F$1,F16),IF(E16&lt;$E$1,$E$1,E16)))</f>
        <v>2.4300000000000002</v>
      </c>
      <c r="H16" s="193" t="s">
        <v>122</v>
      </c>
      <c r="I16" s="192">
        <f>I15-G16</f>
        <v>7.57</v>
      </c>
      <c r="J16" s="193"/>
      <c r="K16" s="192">
        <v>25</v>
      </c>
      <c r="L16" s="192">
        <f>L15-G16</f>
        <v>36.9</v>
      </c>
      <c r="M16" s="193"/>
      <c r="N16" s="192"/>
      <c r="O16" s="192">
        <f>O15-G16</f>
        <v>159.32999999999996</v>
      </c>
      <c r="P16" s="193"/>
      <c r="Q16" s="192"/>
      <c r="R16" s="192">
        <f>R15-G16</f>
        <v>41.76</v>
      </c>
      <c r="S16" s="193"/>
      <c r="T16" s="192">
        <f>T15-G16</f>
        <v>2.0400000000000023</v>
      </c>
      <c r="U16" s="194">
        <f>U15-G16</f>
        <v>62.039999999999957</v>
      </c>
      <c r="V16" s="211">
        <f>IF(H15="AFIII",VLOOKUP(D16,Sheet1!$A$4:$H$18,5,FALSE),IF(H15="UBIII",VLOOKUP(D16,Sheet1!$A$4:$H$18,8,FALSE),IF(H15="",VLOOKUP(D16,Sheet1!$A$4:$H$18,2,FALSE),"0")))</f>
        <v>884</v>
      </c>
      <c r="W16" s="211">
        <f>IF(H15="UBIII",$X$2,0)</f>
        <v>7033</v>
      </c>
      <c r="X16" s="212">
        <f>IF(M16="コンバート",(IF(D16="フレア",0,IF(X15-V16+W16&gt;$X$3,$X$3-V16,X15-V16+W16)))+$X$1,IF(D16="フレア",0,IF(X15-V16+W16&gt;$X$3,$X$3-V16,X15-V16+W16)))</f>
        <v>7480</v>
      </c>
      <c r="Y16" s="195" t="str">
        <f>IF(X15-V16&lt;0,"ERROR","SUCCESS")</f>
        <v>SUCCESS</v>
      </c>
      <c r="Z16" s="195" t="str">
        <f>IF(K15-G16&lt;0,"ERROR","SUCCESS")</f>
        <v>SUCCESS</v>
      </c>
      <c r="AA16" s="185">
        <f t="shared" ref="AA16:AA23" si="23">B16/C16</f>
        <v>190.23605150214593</v>
      </c>
    </row>
    <row r="17" spans="1:27">
      <c r="A17" s="112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168</v>
      </c>
      <c r="B17" s="113">
        <f t="shared" ref="B17:B23" si="24">B16+A17</f>
        <v>5487</v>
      </c>
      <c r="C17" s="118">
        <f t="shared" ref="C17:C23" si="25">C16+G17</f>
        <v>30.35</v>
      </c>
      <c r="D17" s="181" t="s">
        <v>4</v>
      </c>
      <c r="E17" s="182">
        <f>IF(H16="AFIII",VLOOKUP($D17,Sheet1!$A$34:$K$48,5,FALSE),IF(H16="UBIII",VLOOKUP($D17,Sheet1!$A$34:$K$48,8,FALSE),VLOOKUP($D17,Sheet1!$A$34:$K$48,2,FALSE)))</f>
        <v>1.67</v>
      </c>
      <c r="F17" s="182">
        <f>ROUNDDOWN((IF(H16="AFIII",VLOOKUP($D17,Sheet1!$A$34:$K$48,5,FALSE),IF(H16="UBIII",VLOOKUP($D17,Sheet1!$A$34:$K$48,8,FALSE),VLOOKUP($D17,Sheet1!$A$34:$K$48,2,FALSE))))*0.85,2)</f>
        <v>1.41</v>
      </c>
      <c r="G17" s="182">
        <f t="shared" ref="G17:G23" si="26">IF(M16="迅速",IF(S16="黒魔紋",$F$1,$E$1),IF(S16="黒魔紋",IF(F17&lt;$F$1,$F$1,F17),IF(E17&lt;$E$1,$E$1,E17)))</f>
        <v>2.39</v>
      </c>
      <c r="H17" s="183" t="s">
        <v>84</v>
      </c>
      <c r="I17" s="182">
        <v>10</v>
      </c>
      <c r="K17" s="182">
        <f>K16-G17</f>
        <v>22.61</v>
      </c>
      <c r="L17" s="182">
        <f t="shared" ref="L17:L23" si="27">L16-G17</f>
        <v>34.51</v>
      </c>
      <c r="O17" s="182">
        <f t="shared" ref="O17:O23" si="28">O16-G17</f>
        <v>156.93999999999997</v>
      </c>
      <c r="R17" s="182">
        <f t="shared" ref="R17:R23" si="29">R16-G17</f>
        <v>39.369999999999997</v>
      </c>
      <c r="T17" s="182">
        <f t="shared" ref="T17:T30" si="30">T16-G17</f>
        <v>-0.34999999999999787</v>
      </c>
      <c r="U17" s="184">
        <f t="shared" ref="U17:U23" si="31">U16-G17</f>
        <v>59.649999999999956</v>
      </c>
      <c r="V17" s="201">
        <f>IF(H16="AFIII",VLOOKUP(D17,Sheet1!$A$4:$H$18,5,FALSE),IF(H16="UBIII",VLOOKUP(D17,Sheet1!$A$4:$H$18,8,FALSE),IF(H16="",VLOOKUP(D17,Sheet1!$A$4:$H$18,2,FALSE),"0")))</f>
        <v>442</v>
      </c>
      <c r="W17" s="201">
        <f t="shared" ref="W17:W23" si="32">IF(H16="UBIII",$X$2,0)</f>
        <v>7033</v>
      </c>
      <c r="X17" s="208">
        <f t="shared" ref="X17:X23" si="33">IF(M17="コンバート",(IF(D17="フレア",0,IF(X16-V17+W17&gt;$X$3,$X$3-V17,X16-V17+W17)))+$X$1,IF(D17="フレア",0,IF(X16-V17+W17&gt;$X$3,$X$3-V17,X16-V17+W17)))</f>
        <v>10917</v>
      </c>
      <c r="Y17" s="171" t="str">
        <f t="shared" ref="Y17:Y23" si="34">IF(X16-V17&lt;0,"ERROR","SUCCESS")</f>
        <v>SUCCESS</v>
      </c>
      <c r="Z17" s="171" t="str">
        <f t="shared" ref="Z17:Z23" si="35">IF(K16-G17&lt;0,"ERROR","SUCCESS")</f>
        <v>SUCCESS</v>
      </c>
      <c r="AA17" s="185">
        <f t="shared" si="23"/>
        <v>180.79077429983525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504</v>
      </c>
      <c r="B18" s="113">
        <f t="shared" si="24"/>
        <v>5991</v>
      </c>
      <c r="C18" s="118">
        <f t="shared" si="25"/>
        <v>33.21</v>
      </c>
      <c r="D18" s="181" t="s">
        <v>6</v>
      </c>
      <c r="E18" s="182">
        <f>IF(H17="AFIII",VLOOKUP($D18,Sheet1!$A$34:$K$48,5,FALSE),IF(H17="UBIII",VLOOKUP($D18,Sheet1!$A$34:$K$48,8,FALSE),VLOOKUP($D18,Sheet1!$A$34:$K$48,2,FALSE)))</f>
        <v>2.86</v>
      </c>
      <c r="F18" s="182">
        <f>ROUNDDOWN((IF(H17="AFIII",VLOOKUP($D18,Sheet1!$A$34:$K$48,5,FALSE),IF(H17="UBIII",VLOOKUP($D18,Sheet1!$A$34:$K$48,8,FALSE),VLOOKUP($D18,Sheet1!$A$34:$K$48,2,FALSE))))*0.85,2)</f>
        <v>2.4300000000000002</v>
      </c>
      <c r="G18" s="182">
        <f t="shared" si="26"/>
        <v>2.86</v>
      </c>
      <c r="H18" s="183" t="s">
        <v>84</v>
      </c>
      <c r="I18" s="182">
        <f>I17-G18</f>
        <v>7.1400000000000006</v>
      </c>
      <c r="K18" s="182">
        <f t="shared" ref="K18:K23" si="36">K17-G18</f>
        <v>19.75</v>
      </c>
      <c r="L18" s="182">
        <f t="shared" si="27"/>
        <v>31.65</v>
      </c>
      <c r="O18" s="182">
        <f t="shared" si="28"/>
        <v>154.07999999999996</v>
      </c>
      <c r="R18" s="182">
        <f t="shared" si="29"/>
        <v>36.51</v>
      </c>
      <c r="T18" s="182">
        <f t="shared" si="30"/>
        <v>-3.2099999999999977</v>
      </c>
      <c r="U18" s="184">
        <f t="shared" si="31"/>
        <v>56.789999999999957</v>
      </c>
      <c r="V18" s="201">
        <f>IF(H17="AFIII",VLOOKUP(D18,Sheet1!$A$4:$H$18,5,FALSE),IF(H17="UBIII",VLOOKUP(D18,Sheet1!$A$4:$H$18,8,FALSE),IF(H17="",VLOOKUP(D18,Sheet1!$A$4:$H$18,2,FALSE),"0")))</f>
        <v>1768</v>
      </c>
      <c r="W18" s="201">
        <f t="shared" si="32"/>
        <v>0</v>
      </c>
      <c r="X18" s="208">
        <f t="shared" si="33"/>
        <v>9149</v>
      </c>
      <c r="Y18" s="171" t="str">
        <f t="shared" si="34"/>
        <v>SUCCESS</v>
      </c>
      <c r="Z18" s="171" t="str">
        <f t="shared" si="35"/>
        <v>SUCCESS</v>
      </c>
      <c r="AA18" s="185">
        <f t="shared" si="23"/>
        <v>180.39747064137308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504</v>
      </c>
      <c r="B19" s="113">
        <f t="shared" si="24"/>
        <v>6495</v>
      </c>
      <c r="C19" s="118">
        <f t="shared" si="25"/>
        <v>36.07</v>
      </c>
      <c r="D19" s="181" t="s">
        <v>6</v>
      </c>
      <c r="E19" s="182">
        <f>IF(H18="AFIII",VLOOKUP($D19,Sheet1!$A$34:$K$48,5,FALSE),IF(H18="UBIII",VLOOKUP($D19,Sheet1!$A$34:$K$48,8,FALSE),VLOOKUP($D19,Sheet1!$A$34:$K$48,2,FALSE)))</f>
        <v>2.86</v>
      </c>
      <c r="F19" s="182">
        <f>ROUNDDOWN((IF(H18="AFIII",VLOOKUP($D19,Sheet1!$A$34:$K$48,5,FALSE),IF(H18="UBIII",VLOOKUP($D19,Sheet1!$A$34:$K$48,8,FALSE),VLOOKUP($D19,Sheet1!$A$34:$K$48,2,FALSE))))*0.85,2)</f>
        <v>2.4300000000000002</v>
      </c>
      <c r="G19" s="182">
        <f t="shared" si="26"/>
        <v>2.86</v>
      </c>
      <c r="H19" s="183" t="s">
        <v>84</v>
      </c>
      <c r="I19" s="182">
        <f>I18-G19</f>
        <v>4.2800000000000011</v>
      </c>
      <c r="K19" s="182">
        <f t="shared" si="36"/>
        <v>16.89</v>
      </c>
      <c r="L19" s="182">
        <f t="shared" si="27"/>
        <v>28.79</v>
      </c>
      <c r="O19" s="182">
        <f t="shared" si="28"/>
        <v>151.21999999999994</v>
      </c>
      <c r="R19" s="182">
        <f t="shared" si="29"/>
        <v>33.65</v>
      </c>
      <c r="U19" s="184">
        <f t="shared" si="31"/>
        <v>53.929999999999957</v>
      </c>
      <c r="V19" s="201">
        <f>IF(H18="AFIII",VLOOKUP(D19,Sheet1!$A$4:$H$18,5,FALSE),IF(H18="UBIII",VLOOKUP(D19,Sheet1!$A$4:$H$18,8,FALSE),IF(H18="",VLOOKUP(D19,Sheet1!$A$4:$H$18,2,FALSE),"0")))</f>
        <v>1768</v>
      </c>
      <c r="W19" s="201">
        <f t="shared" si="32"/>
        <v>0</v>
      </c>
      <c r="X19" s="208">
        <f t="shared" si="33"/>
        <v>7381</v>
      </c>
      <c r="Y19" s="171" t="str">
        <f t="shared" si="34"/>
        <v>SUCCESS</v>
      </c>
      <c r="Z19" s="171" t="str">
        <f t="shared" si="35"/>
        <v>SUCCESS</v>
      </c>
      <c r="AA19" s="185">
        <f t="shared" si="23"/>
        <v>180.06653728860547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324</v>
      </c>
      <c r="B20" s="113">
        <f t="shared" si="24"/>
        <v>6819</v>
      </c>
      <c r="C20" s="118">
        <f t="shared" si="25"/>
        <v>38.46</v>
      </c>
      <c r="D20" s="181" t="s">
        <v>1</v>
      </c>
      <c r="E20" s="182">
        <f>IF(H19="AFIII",VLOOKUP($D20,Sheet1!$A$34:$K$48,5,FALSE),IF(H19="UBIII",VLOOKUP($D20,Sheet1!$A$34:$K$48,8,FALSE),VLOOKUP($D20,Sheet1!$A$34:$K$48,2,FALSE)))</f>
        <v>2.39</v>
      </c>
      <c r="F20" s="182">
        <f>ROUNDDOWN((IF(H19="AFIII",VLOOKUP($D20,Sheet1!$A$34:$K$48,5,FALSE),IF(H19="UBIII",VLOOKUP($D20,Sheet1!$A$34:$K$48,8,FALSE),VLOOKUP($D20,Sheet1!$A$34:$K$48,2,FALSE))))*0.85,2)</f>
        <v>2.0299999999999998</v>
      </c>
      <c r="G20" s="182">
        <f t="shared" si="26"/>
        <v>2.39</v>
      </c>
      <c r="H20" s="183" t="s">
        <v>84</v>
      </c>
      <c r="I20" s="182">
        <v>10</v>
      </c>
      <c r="K20" s="182">
        <f t="shared" si="36"/>
        <v>14.5</v>
      </c>
      <c r="L20" s="182">
        <f t="shared" si="27"/>
        <v>26.4</v>
      </c>
      <c r="O20" s="182">
        <f t="shared" si="28"/>
        <v>148.82999999999996</v>
      </c>
      <c r="R20" s="182">
        <f t="shared" si="29"/>
        <v>31.259999999999998</v>
      </c>
      <c r="U20" s="184">
        <f t="shared" si="31"/>
        <v>51.539999999999957</v>
      </c>
      <c r="V20" s="201">
        <f>IF(H19="AFIII",VLOOKUP(D20,Sheet1!$A$4:$H$18,5,FALSE),IF(H19="UBIII",VLOOKUP(D20,Sheet1!$A$4:$H$18,8,FALSE),IF(H19="",VLOOKUP(D20,Sheet1!$A$4:$H$18,2,FALSE),"0")))</f>
        <v>2120</v>
      </c>
      <c r="W20" s="201">
        <f t="shared" si="32"/>
        <v>0</v>
      </c>
      <c r="X20" s="208">
        <f t="shared" si="33"/>
        <v>5261</v>
      </c>
      <c r="Y20" s="171" t="str">
        <f t="shared" si="34"/>
        <v>SUCCESS</v>
      </c>
      <c r="Z20" s="171" t="str">
        <f t="shared" si="35"/>
        <v>SUCCESS</v>
      </c>
      <c r="AA20" s="185">
        <f t="shared" si="23"/>
        <v>177.30109204368173</v>
      </c>
    </row>
    <row r="21" spans="1:27">
      <c r="A21" s="112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504</v>
      </c>
      <c r="B21" s="113">
        <f t="shared" si="24"/>
        <v>7323</v>
      </c>
      <c r="C21" s="118">
        <f t="shared" si="25"/>
        <v>41.32</v>
      </c>
      <c r="D21" s="181" t="s">
        <v>6</v>
      </c>
      <c r="E21" s="182">
        <f>IF(H20="AFIII",VLOOKUP($D21,Sheet1!$A$34:$K$48,5,FALSE),IF(H20="UBIII",VLOOKUP($D21,Sheet1!$A$34:$K$48,8,FALSE),VLOOKUP($D21,Sheet1!$A$34:$K$48,2,FALSE)))</f>
        <v>2.86</v>
      </c>
      <c r="F21" s="182">
        <f>ROUNDDOWN((IF(H20="AFIII",VLOOKUP($D21,Sheet1!$A$34:$K$48,5,FALSE),IF(H20="UBIII",VLOOKUP($D21,Sheet1!$A$34:$K$48,8,FALSE),VLOOKUP($D21,Sheet1!$A$34:$K$48,2,FALSE))))*0.85,2)</f>
        <v>2.4300000000000002</v>
      </c>
      <c r="G21" s="182">
        <f t="shared" si="26"/>
        <v>2.86</v>
      </c>
      <c r="H21" s="183" t="s">
        <v>84</v>
      </c>
      <c r="I21" s="182">
        <f>I20-G21</f>
        <v>7.1400000000000006</v>
      </c>
      <c r="K21" s="182">
        <f t="shared" si="36"/>
        <v>11.64</v>
      </c>
      <c r="L21" s="182">
        <f t="shared" si="27"/>
        <v>23.54</v>
      </c>
      <c r="O21" s="182">
        <f t="shared" si="28"/>
        <v>145.96999999999994</v>
      </c>
      <c r="R21" s="182">
        <f t="shared" si="29"/>
        <v>28.4</v>
      </c>
      <c r="U21" s="184">
        <f t="shared" si="31"/>
        <v>48.679999999999957</v>
      </c>
      <c r="V21" s="201">
        <f>IF(H20="AFIII",VLOOKUP(D21,Sheet1!$A$4:$H$18,5,FALSE),IF(H20="UBIII",VLOOKUP(D21,Sheet1!$A$4:$H$18,8,FALSE),IF(H20="",VLOOKUP(D21,Sheet1!$A$4:$H$18,2,FALSE),"0")))</f>
        <v>1768</v>
      </c>
      <c r="W21" s="201">
        <f t="shared" si="32"/>
        <v>0</v>
      </c>
      <c r="X21" s="208">
        <f t="shared" si="33"/>
        <v>3493</v>
      </c>
      <c r="Y21" s="171" t="str">
        <f t="shared" si="34"/>
        <v>SUCCESS</v>
      </c>
      <c r="Z21" s="171" t="str">
        <f t="shared" si="35"/>
        <v>SUCCESS</v>
      </c>
      <c r="AA21" s="185">
        <f t="shared" si="23"/>
        <v>177.22652468538237</v>
      </c>
    </row>
    <row r="22" spans="1:27">
      <c r="A22" s="112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504</v>
      </c>
      <c r="B22" s="113">
        <f t="shared" si="24"/>
        <v>7827</v>
      </c>
      <c r="C22" s="118">
        <f t="shared" si="25"/>
        <v>44.18</v>
      </c>
      <c r="D22" s="181" t="s">
        <v>6</v>
      </c>
      <c r="E22" s="182">
        <f>IF(H21="AFIII",VLOOKUP($D22,Sheet1!$A$34:$K$48,5,FALSE),IF(H21="UBIII",VLOOKUP($D22,Sheet1!$A$34:$K$48,8,FALSE),VLOOKUP($D22,Sheet1!$A$34:$K$48,2,FALSE)))</f>
        <v>2.86</v>
      </c>
      <c r="F22" s="182">
        <f>ROUNDDOWN((IF(H21="AFIII",VLOOKUP($D22,Sheet1!$A$34:$K$48,5,FALSE),IF(H21="UBIII",VLOOKUP($D22,Sheet1!$A$34:$K$48,8,FALSE),VLOOKUP($D22,Sheet1!$A$34:$K$48,2,FALSE))))*0.85,2)</f>
        <v>2.4300000000000002</v>
      </c>
      <c r="G22" s="182">
        <f t="shared" si="26"/>
        <v>2.86</v>
      </c>
      <c r="H22" s="183" t="s">
        <v>84</v>
      </c>
      <c r="I22" s="182">
        <f>I21-G22</f>
        <v>4.2800000000000011</v>
      </c>
      <c r="K22" s="182">
        <f t="shared" si="36"/>
        <v>8.7800000000000011</v>
      </c>
      <c r="L22" s="182">
        <f t="shared" si="27"/>
        <v>20.68</v>
      </c>
      <c r="O22" s="182">
        <f t="shared" si="28"/>
        <v>143.10999999999993</v>
      </c>
      <c r="R22" s="182">
        <f t="shared" si="29"/>
        <v>25.54</v>
      </c>
      <c r="U22" s="184">
        <f t="shared" si="31"/>
        <v>45.819999999999958</v>
      </c>
      <c r="V22" s="201">
        <f>IF(H21="AFIII",VLOOKUP(D22,Sheet1!$A$4:$H$18,5,FALSE),IF(H21="UBIII",VLOOKUP(D22,Sheet1!$A$4:$H$18,8,FALSE),IF(H21="",VLOOKUP(D22,Sheet1!$A$4:$H$18,2,FALSE),"0")))</f>
        <v>1768</v>
      </c>
      <c r="W22" s="201">
        <f t="shared" si="32"/>
        <v>0</v>
      </c>
      <c r="X22" s="208">
        <f t="shared" si="33"/>
        <v>1725</v>
      </c>
      <c r="Y22" s="171" t="str">
        <f t="shared" si="34"/>
        <v>SUCCESS</v>
      </c>
      <c r="Z22" s="171" t="str">
        <f t="shared" si="35"/>
        <v>SUCCESS</v>
      </c>
      <c r="AA22" s="185">
        <f t="shared" si="23"/>
        <v>177.16161158895429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168</v>
      </c>
      <c r="B23" s="113">
        <f t="shared" si="24"/>
        <v>7995</v>
      </c>
      <c r="C23" s="118">
        <f t="shared" si="25"/>
        <v>46.57</v>
      </c>
      <c r="D23" s="181" t="s">
        <v>12</v>
      </c>
      <c r="E23" s="182">
        <f>IF(H22="AFIII",VLOOKUP($D23,Sheet1!$A$34:$K$48,5,FALSE),IF(H22="UBIII",VLOOKUP($D23,Sheet1!$A$34:$K$48,8,FALSE),VLOOKUP($D23,Sheet1!$A$34:$K$48,2,FALSE)))</f>
        <v>1.67</v>
      </c>
      <c r="F23" s="182">
        <f>ROUNDDOWN((IF(H22="AFIII",VLOOKUP($D23,Sheet1!$A$34:$K$48,5,FALSE),IF(H22="UBIII",VLOOKUP($D23,Sheet1!$A$34:$K$48,8,FALSE),VLOOKUP($D23,Sheet1!$A$34:$K$48,2,FALSE))))*0.85,2)</f>
        <v>1.41</v>
      </c>
      <c r="G23" s="182">
        <f t="shared" si="26"/>
        <v>2.39</v>
      </c>
      <c r="H23" s="183" t="s">
        <v>122</v>
      </c>
      <c r="I23" s="182">
        <v>10</v>
      </c>
      <c r="K23" s="182">
        <f t="shared" si="36"/>
        <v>6.3900000000000006</v>
      </c>
      <c r="L23" s="182">
        <f t="shared" si="27"/>
        <v>18.29</v>
      </c>
      <c r="O23" s="182">
        <f t="shared" si="28"/>
        <v>140.71999999999994</v>
      </c>
      <c r="R23" s="182">
        <f t="shared" si="29"/>
        <v>23.15</v>
      </c>
      <c r="U23" s="184">
        <f t="shared" si="31"/>
        <v>43.429999999999957</v>
      </c>
      <c r="V23" s="201">
        <f>IF(H22="AFIII",VLOOKUP(D23,Sheet1!$A$4:$H$18,5,FALSE),IF(H22="UBIII",VLOOKUP(D23,Sheet1!$A$4:$H$18,8,FALSE),IF(H22="",VLOOKUP(D23,Sheet1!$A$4:$H$18,2,FALSE),"0")))</f>
        <v>265</v>
      </c>
      <c r="W23" s="201">
        <f t="shared" si="32"/>
        <v>0</v>
      </c>
      <c r="X23" s="208">
        <f t="shared" si="33"/>
        <v>1460</v>
      </c>
      <c r="Y23" s="171" t="str">
        <f t="shared" si="34"/>
        <v>SUCCESS</v>
      </c>
      <c r="Z23" s="171" t="str">
        <f t="shared" si="35"/>
        <v>SUCCESS</v>
      </c>
      <c r="AA23" s="185">
        <f t="shared" si="23"/>
        <v>171.67704530813828</v>
      </c>
    </row>
    <row r="24" spans="1:27">
      <c r="A24" s="119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280</v>
      </c>
      <c r="B24" s="120">
        <f t="shared" ref="B24:B40" si="37">B23+A24</f>
        <v>8275</v>
      </c>
      <c r="C24" s="121">
        <f t="shared" ref="C24:C38" si="38">C23+G24</f>
        <v>49.43</v>
      </c>
      <c r="D24" s="191" t="s">
        <v>14</v>
      </c>
      <c r="E24" s="192">
        <f>IF(H23="AFIII",VLOOKUP($D24,Sheet1!$A$34:$K$48,5,FALSE),IF(H23="UBIII",VLOOKUP($D24,Sheet1!$A$34:$K$48,8,FALSE),VLOOKUP($D24,Sheet1!$A$34:$K$48,2,FALSE)))</f>
        <v>2.86</v>
      </c>
      <c r="F24" s="192">
        <f>ROUNDDOWN((IF(H23="AFIII",VLOOKUP($D24,Sheet1!$A$34:$K$48,5,FALSE),IF(H23="UBIII",VLOOKUP($D24,Sheet1!$A$34:$K$48,8,FALSE),VLOOKUP($D24,Sheet1!$A$34:$K$48,2,FALSE))))*0.85,2)</f>
        <v>2.4300000000000002</v>
      </c>
      <c r="G24" s="192">
        <f t="shared" ref="G24:G41" si="39">IF(M23="迅速",IF(S23="黒魔紋",$F$1,$E$1),IF(S23="黒魔紋",IF(F24&lt;$F$1,$F$1,F24),IF(E24&lt;$E$1,$E$1,E24)))</f>
        <v>2.86</v>
      </c>
      <c r="H24" s="193" t="s">
        <v>122</v>
      </c>
      <c r="I24" s="192">
        <f>I23-G24</f>
        <v>7.1400000000000006</v>
      </c>
      <c r="J24" s="193"/>
      <c r="K24" s="192">
        <v>20</v>
      </c>
      <c r="L24" s="192">
        <f t="shared" ref="L24:L32" si="40">L23-G24</f>
        <v>15.43</v>
      </c>
      <c r="M24" s="193"/>
      <c r="N24" s="192"/>
      <c r="O24" s="192">
        <f t="shared" ref="O24:O40" si="41">O23-G24</f>
        <v>137.85999999999993</v>
      </c>
      <c r="P24" s="193"/>
      <c r="Q24" s="192"/>
      <c r="R24" s="192">
        <f t="shared" ref="R24:R27" si="42">R23-G24</f>
        <v>20.29</v>
      </c>
      <c r="S24" s="193"/>
      <c r="T24" s="192"/>
      <c r="U24" s="194">
        <f t="shared" ref="U24:U86" si="43">U23-G24</f>
        <v>40.569999999999958</v>
      </c>
      <c r="V24" s="211">
        <f>IF(H23="AFIII",VLOOKUP(D24,Sheet1!$A$4:$H$18,5,FALSE),IF(H23="UBIII",VLOOKUP(D24,Sheet1!$A$4:$H$18,8,FALSE),IF(H23="",VLOOKUP(D24,Sheet1!$A$4:$H$18,2,FALSE),"0")))</f>
        <v>884</v>
      </c>
      <c r="W24" s="211">
        <f t="shared" ref="W24:W40" si="44">IF(H23="UBIII",$X$2,0)</f>
        <v>7033</v>
      </c>
      <c r="X24" s="212">
        <f t="shared" ref="X24:X38" si="45">IF(M24="コンバート",(IF(D24="フレア",0,IF(X23-V24+W24&gt;$X$3,$X$3-V24,X23-V24+W24)))+$X$1,IF(D24="フレア",0,IF(X23-V24+W24&gt;$X$3,$X$3-V24,X23-V24+W24)))</f>
        <v>7609</v>
      </c>
      <c r="Y24" s="195" t="str">
        <f t="shared" ref="Y24:Y40" si="46">IF(X23-V24&lt;0,"ERROR","SUCCESS")</f>
        <v>SUCCESS</v>
      </c>
      <c r="Z24" s="195" t="str">
        <f t="shared" ref="Z24:Z40" si="47">IF(K23-G24&lt;0,"ERROR","SUCCESS")</f>
        <v>SUCCESS</v>
      </c>
      <c r="AA24" s="185">
        <f t="shared" ref="AA24:AA65" si="48">B24/C24</f>
        <v>167.40845640299415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168</v>
      </c>
      <c r="B25" s="113">
        <f t="shared" si="37"/>
        <v>8443</v>
      </c>
      <c r="C25" s="118">
        <f t="shared" si="38"/>
        <v>51.82</v>
      </c>
      <c r="D25" s="181" t="s">
        <v>3</v>
      </c>
      <c r="E25" s="182">
        <f>IF(H24="AFIII",VLOOKUP($D25,Sheet1!$A$34:$K$48,5,FALSE),IF(H24="UBIII",VLOOKUP($D25,Sheet1!$A$34:$K$48,8,FALSE),VLOOKUP($D25,Sheet1!$A$34:$K$48,2,FALSE)))</f>
        <v>1.67</v>
      </c>
      <c r="F25" s="182">
        <f>ROUNDDOWN((IF(H24="AFIII",VLOOKUP($D25,Sheet1!$A$34:$K$48,5,FALSE),IF(H24="UBIII",VLOOKUP($D25,Sheet1!$A$34:$K$48,8,FALSE),VLOOKUP($D25,Sheet1!$A$34:$K$48,2,FALSE))))*0.85,2)</f>
        <v>1.41</v>
      </c>
      <c r="G25" s="182">
        <f t="shared" si="39"/>
        <v>2.39</v>
      </c>
      <c r="H25" s="183" t="s">
        <v>84</v>
      </c>
      <c r="I25" s="182">
        <v>10</v>
      </c>
      <c r="K25" s="182">
        <f>K24-G25</f>
        <v>17.61</v>
      </c>
      <c r="L25" s="182">
        <f t="shared" si="40"/>
        <v>13.04</v>
      </c>
      <c r="O25" s="182">
        <f t="shared" si="41"/>
        <v>135.46999999999994</v>
      </c>
      <c r="R25" s="182">
        <f t="shared" si="42"/>
        <v>17.899999999999999</v>
      </c>
      <c r="U25" s="184">
        <f t="shared" si="43"/>
        <v>38.179999999999957</v>
      </c>
      <c r="V25" s="201">
        <f>IF(H24="AFIII",VLOOKUP(D25,Sheet1!$A$4:$H$18,5,FALSE),IF(H24="UBIII",VLOOKUP(D25,Sheet1!$A$4:$H$18,8,FALSE),IF(H24="",VLOOKUP(D25,Sheet1!$A$4:$H$18,2,FALSE),"0")))</f>
        <v>442</v>
      </c>
      <c r="W25" s="201">
        <f t="shared" si="44"/>
        <v>7033</v>
      </c>
      <c r="X25" s="208">
        <f t="shared" si="45"/>
        <v>10917</v>
      </c>
      <c r="Y25" s="171" t="str">
        <f t="shared" si="46"/>
        <v>SUCCESS</v>
      </c>
      <c r="Z25" s="171" t="str">
        <f t="shared" si="47"/>
        <v>SUCCESS</v>
      </c>
      <c r="AA25" s="185">
        <f t="shared" si="48"/>
        <v>162.9293708992667</v>
      </c>
    </row>
    <row r="26" spans="1:27">
      <c r="A26" s="112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504</v>
      </c>
      <c r="B26" s="113">
        <f t="shared" si="37"/>
        <v>8947</v>
      </c>
      <c r="C26" s="118">
        <f t="shared" si="38"/>
        <v>54.68</v>
      </c>
      <c r="D26" s="181" t="s">
        <v>5</v>
      </c>
      <c r="E26" s="182">
        <f>IF(H25="AFIII",VLOOKUP($D26,Sheet1!$A$34:$K$48,5,FALSE),IF(H25="UBIII",VLOOKUP($D26,Sheet1!$A$34:$K$48,8,FALSE),VLOOKUP($D26,Sheet1!$A$34:$K$48,2,FALSE)))</f>
        <v>2.86</v>
      </c>
      <c r="F26" s="182">
        <f>ROUNDDOWN((IF(H25="AFIII",VLOOKUP($D26,Sheet1!$A$34:$K$48,5,FALSE),IF(H25="UBIII",VLOOKUP($D26,Sheet1!$A$34:$K$48,8,FALSE),VLOOKUP($D26,Sheet1!$A$34:$K$48,2,FALSE))))*0.85,2)</f>
        <v>2.4300000000000002</v>
      </c>
      <c r="G26" s="182">
        <f t="shared" si="39"/>
        <v>2.86</v>
      </c>
      <c r="H26" s="183" t="s">
        <v>84</v>
      </c>
      <c r="I26" s="182">
        <f>I25-G26</f>
        <v>7.1400000000000006</v>
      </c>
      <c r="K26" s="182">
        <f t="shared" ref="K26:K32" si="49">K25-G26</f>
        <v>14.75</v>
      </c>
      <c r="L26" s="182">
        <f t="shared" si="40"/>
        <v>10.18</v>
      </c>
      <c r="O26" s="182">
        <f t="shared" si="41"/>
        <v>132.60999999999993</v>
      </c>
      <c r="R26" s="182">
        <f t="shared" si="42"/>
        <v>15.04</v>
      </c>
      <c r="U26" s="184">
        <f t="shared" si="43"/>
        <v>35.319999999999958</v>
      </c>
      <c r="V26" s="201">
        <f>IF(H25="AFIII",VLOOKUP(D26,Sheet1!$A$4:$H$18,5,FALSE),IF(H25="UBIII",VLOOKUP(D26,Sheet1!$A$4:$H$18,8,FALSE),IF(H25="",VLOOKUP(D26,Sheet1!$A$4:$H$18,2,FALSE),"0")))</f>
        <v>1768</v>
      </c>
      <c r="W26" s="201">
        <f t="shared" si="44"/>
        <v>0</v>
      </c>
      <c r="X26" s="208">
        <f t="shared" si="45"/>
        <v>9149</v>
      </c>
      <c r="Y26" s="171" t="str">
        <f t="shared" si="46"/>
        <v>SUCCESS</v>
      </c>
      <c r="Z26" s="171" t="str">
        <f t="shared" si="47"/>
        <v>SUCCESS</v>
      </c>
      <c r="AA26" s="185">
        <f t="shared" si="48"/>
        <v>163.62472567666424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504</v>
      </c>
      <c r="B27" s="113">
        <f t="shared" si="37"/>
        <v>9451</v>
      </c>
      <c r="C27" s="118">
        <f t="shared" si="38"/>
        <v>57.54</v>
      </c>
      <c r="D27" s="181" t="s">
        <v>5</v>
      </c>
      <c r="E27" s="182">
        <f>IF(H26="AFIII",VLOOKUP($D27,Sheet1!$A$34:$K$48,5,FALSE),IF(H26="UBIII",VLOOKUP($D27,Sheet1!$A$34:$K$48,8,FALSE),VLOOKUP($D27,Sheet1!$A$34:$K$48,2,FALSE)))</f>
        <v>2.86</v>
      </c>
      <c r="F27" s="182">
        <f>ROUNDDOWN((IF(H26="AFIII",VLOOKUP($D27,Sheet1!$A$34:$K$48,5,FALSE),IF(H26="UBIII",VLOOKUP($D27,Sheet1!$A$34:$K$48,8,FALSE),VLOOKUP($D27,Sheet1!$A$34:$K$48,2,FALSE))))*0.85,2)</f>
        <v>2.4300000000000002</v>
      </c>
      <c r="G27" s="182">
        <f t="shared" si="39"/>
        <v>2.86</v>
      </c>
      <c r="H27" s="183" t="s">
        <v>84</v>
      </c>
      <c r="I27" s="182">
        <f t="shared" ref="I27" si="50">I26-G27</f>
        <v>4.2800000000000011</v>
      </c>
      <c r="K27" s="182">
        <f t="shared" si="49"/>
        <v>11.89</v>
      </c>
      <c r="L27" s="182">
        <f t="shared" si="40"/>
        <v>7.32</v>
      </c>
      <c r="O27" s="182">
        <f t="shared" si="41"/>
        <v>129.74999999999991</v>
      </c>
      <c r="R27" s="182">
        <f t="shared" si="42"/>
        <v>12.18</v>
      </c>
      <c r="U27" s="184">
        <f t="shared" si="43"/>
        <v>32.459999999999958</v>
      </c>
      <c r="V27" s="201">
        <f>IF(H26="AFIII",VLOOKUP(D27,Sheet1!$A$4:$H$18,5,FALSE),IF(H26="UBIII",VLOOKUP(D27,Sheet1!$A$4:$H$18,8,FALSE),IF(H26="",VLOOKUP(D27,Sheet1!$A$4:$H$18,2,FALSE),"0")))</f>
        <v>1768</v>
      </c>
      <c r="W27" s="201">
        <f t="shared" si="44"/>
        <v>0</v>
      </c>
      <c r="X27" s="208">
        <f t="shared" si="45"/>
        <v>7381</v>
      </c>
      <c r="Y27" s="171" t="str">
        <f t="shared" si="46"/>
        <v>SUCCESS</v>
      </c>
      <c r="Z27" s="171" t="str">
        <f t="shared" si="47"/>
        <v>SUCCESS</v>
      </c>
      <c r="AA27" s="185">
        <f t="shared" si="48"/>
        <v>164.25095585679529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324</v>
      </c>
      <c r="B28" s="113">
        <f t="shared" si="37"/>
        <v>9775</v>
      </c>
      <c r="C28" s="118">
        <f t="shared" si="38"/>
        <v>59.93</v>
      </c>
      <c r="D28" s="181" t="s">
        <v>1</v>
      </c>
      <c r="E28" s="182">
        <f>IF(H27="AFIII",VLOOKUP($D28,Sheet1!$A$34:$K$48,5,FALSE),IF(H27="UBIII",VLOOKUP($D28,Sheet1!$A$34:$K$48,8,FALSE),VLOOKUP($D28,Sheet1!$A$34:$K$48,2,FALSE)))</f>
        <v>2.39</v>
      </c>
      <c r="F28" s="182">
        <f>ROUNDDOWN((IF(H27="AFIII",VLOOKUP($D28,Sheet1!$A$34:$K$48,5,FALSE),IF(H27="UBIII",VLOOKUP($D28,Sheet1!$A$34:$K$48,8,FALSE),VLOOKUP($D28,Sheet1!$A$34:$K$48,2,FALSE))))*0.85,2)</f>
        <v>2.0299999999999998</v>
      </c>
      <c r="G28" s="182">
        <f t="shared" si="39"/>
        <v>2.39</v>
      </c>
      <c r="H28" s="183" t="s">
        <v>84</v>
      </c>
      <c r="I28" s="182">
        <v>10</v>
      </c>
      <c r="K28" s="182">
        <f t="shared" si="49"/>
        <v>9.5</v>
      </c>
      <c r="L28" s="182">
        <f t="shared" si="40"/>
        <v>4.93</v>
      </c>
      <c r="O28" s="182">
        <f t="shared" si="41"/>
        <v>127.35999999999991</v>
      </c>
      <c r="R28" s="182">
        <f>R27-G28</f>
        <v>9.7899999999999991</v>
      </c>
      <c r="U28" s="184">
        <f t="shared" si="43"/>
        <v>30.069999999999958</v>
      </c>
      <c r="V28" s="201">
        <f>IF(H27="AFIII",VLOOKUP(D28,Sheet1!$A$4:$H$18,5,FALSE),IF(H27="UBIII",VLOOKUP(D28,Sheet1!$A$4:$H$18,8,FALSE),IF(H27="",VLOOKUP(D28,Sheet1!$A$4:$H$18,2,FALSE),"0")))</f>
        <v>2120</v>
      </c>
      <c r="W28" s="201">
        <f t="shared" si="44"/>
        <v>0</v>
      </c>
      <c r="X28" s="208">
        <f t="shared" si="45"/>
        <v>5261</v>
      </c>
      <c r="Y28" s="171" t="str">
        <f t="shared" si="46"/>
        <v>SUCCESS</v>
      </c>
      <c r="Z28" s="171" t="str">
        <f t="shared" si="47"/>
        <v>SUCCESS</v>
      </c>
      <c r="AA28" s="185">
        <f t="shared" si="48"/>
        <v>163.10695811780411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504</v>
      </c>
      <c r="B29" s="113">
        <f t="shared" si="37"/>
        <v>10279</v>
      </c>
      <c r="C29" s="118">
        <f t="shared" si="38"/>
        <v>62.79</v>
      </c>
      <c r="D29" s="181" t="s">
        <v>6</v>
      </c>
      <c r="E29" s="182">
        <f>IF(H28="AFIII",VLOOKUP($D29,Sheet1!$A$34:$K$48,5,FALSE),IF(H28="UBIII",VLOOKUP($D29,Sheet1!$A$34:$K$48,8,FALSE),VLOOKUP($D29,Sheet1!$A$34:$K$48,2,FALSE)))</f>
        <v>2.86</v>
      </c>
      <c r="F29" s="182">
        <f>ROUNDDOWN((IF(H28="AFIII",VLOOKUP($D29,Sheet1!$A$34:$K$48,5,FALSE),IF(H28="UBIII",VLOOKUP($D29,Sheet1!$A$34:$K$48,8,FALSE),VLOOKUP($D29,Sheet1!$A$34:$K$48,2,FALSE))))*0.85,2)</f>
        <v>2.4300000000000002</v>
      </c>
      <c r="G29" s="182">
        <f t="shared" si="39"/>
        <v>2.86</v>
      </c>
      <c r="H29" s="183" t="s">
        <v>84</v>
      </c>
      <c r="I29" s="182">
        <f>I28-G29</f>
        <v>7.1400000000000006</v>
      </c>
      <c r="K29" s="182">
        <f t="shared" si="49"/>
        <v>6.6400000000000006</v>
      </c>
      <c r="L29" s="182">
        <f t="shared" si="40"/>
        <v>2.0699999999999998</v>
      </c>
      <c r="O29" s="182">
        <f t="shared" si="41"/>
        <v>124.49999999999991</v>
      </c>
      <c r="R29" s="182">
        <f t="shared" ref="R29:R32" si="51">R28-G29</f>
        <v>6.93</v>
      </c>
      <c r="U29" s="184">
        <f t="shared" si="43"/>
        <v>27.209999999999958</v>
      </c>
      <c r="V29" s="201">
        <f>IF(H28="AFIII",VLOOKUP(D29,Sheet1!$A$4:$H$18,5,FALSE),IF(H28="UBIII",VLOOKUP(D29,Sheet1!$A$4:$H$18,8,FALSE),IF(H28="",VLOOKUP(D29,Sheet1!$A$4:$H$18,2,FALSE),"0")))</f>
        <v>1768</v>
      </c>
      <c r="W29" s="201">
        <f t="shared" si="44"/>
        <v>0</v>
      </c>
      <c r="X29" s="208">
        <f t="shared" si="45"/>
        <v>3493</v>
      </c>
      <c r="Y29" s="171" t="str">
        <f t="shared" si="46"/>
        <v>SUCCESS</v>
      </c>
      <c r="Z29" s="171" t="str">
        <f t="shared" si="47"/>
        <v>SUCCESS</v>
      </c>
      <c r="AA29" s="185">
        <f t="shared" si="48"/>
        <v>163.70441153049848</v>
      </c>
    </row>
    <row r="30" spans="1:27">
      <c r="A30" s="112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504</v>
      </c>
      <c r="B30" s="113">
        <f t="shared" si="37"/>
        <v>10783</v>
      </c>
      <c r="C30" s="118">
        <f t="shared" si="38"/>
        <v>65.650000000000006</v>
      </c>
      <c r="D30" s="181" t="s">
        <v>6</v>
      </c>
      <c r="E30" s="182">
        <f>IF(H29="AFIII",VLOOKUP($D30,Sheet1!$A$34:$K$48,5,FALSE),IF(H29="UBIII",VLOOKUP($D30,Sheet1!$A$34:$K$48,8,FALSE),VLOOKUP($D30,Sheet1!$A$34:$K$48,2,FALSE)))</f>
        <v>2.86</v>
      </c>
      <c r="F30" s="182">
        <f>ROUNDDOWN((IF(H29="AFIII",VLOOKUP($D30,Sheet1!$A$34:$K$48,5,FALSE),IF(H29="UBIII",VLOOKUP($D30,Sheet1!$A$34:$K$48,8,FALSE),VLOOKUP($D30,Sheet1!$A$34:$K$48,2,FALSE))))*0.85,2)</f>
        <v>2.4300000000000002</v>
      </c>
      <c r="G30" s="182">
        <f t="shared" si="39"/>
        <v>2.86</v>
      </c>
      <c r="H30" s="183" t="s">
        <v>84</v>
      </c>
      <c r="I30" s="182">
        <f>I29-G30</f>
        <v>4.2800000000000011</v>
      </c>
      <c r="K30" s="182">
        <f t="shared" si="49"/>
        <v>3.7800000000000007</v>
      </c>
      <c r="L30" s="182">
        <f t="shared" si="40"/>
        <v>-0.79</v>
      </c>
      <c r="O30" s="182">
        <f t="shared" si="41"/>
        <v>121.63999999999992</v>
      </c>
      <c r="R30" s="182">
        <f t="shared" si="51"/>
        <v>4.07</v>
      </c>
      <c r="U30" s="184">
        <f t="shared" si="43"/>
        <v>24.349999999999959</v>
      </c>
      <c r="V30" s="201">
        <f>IF(H29="AFIII",VLOOKUP(D30,Sheet1!$A$4:$H$18,5,FALSE),IF(H29="UBIII",VLOOKUP(D30,Sheet1!$A$4:$H$18,8,FALSE),IF(H29="",VLOOKUP(D30,Sheet1!$A$4:$H$18,2,FALSE),"0")))</f>
        <v>1768</v>
      </c>
      <c r="W30" s="201">
        <f t="shared" si="44"/>
        <v>0</v>
      </c>
      <c r="X30" s="208">
        <f t="shared" si="45"/>
        <v>1725</v>
      </c>
      <c r="Y30" s="171" t="str">
        <f t="shared" si="46"/>
        <v>SUCCESS</v>
      </c>
      <c r="Z30" s="171" t="str">
        <f t="shared" si="47"/>
        <v>SUCCESS</v>
      </c>
      <c r="AA30" s="185">
        <f t="shared" si="48"/>
        <v>164.24980959634425</v>
      </c>
    </row>
    <row r="31" spans="1:27">
      <c r="A31" s="112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168</v>
      </c>
      <c r="B31" s="113">
        <f t="shared" si="37"/>
        <v>10951</v>
      </c>
      <c r="C31" s="118">
        <f t="shared" si="38"/>
        <v>68.040000000000006</v>
      </c>
      <c r="D31" s="181" t="s">
        <v>12</v>
      </c>
      <c r="E31" s="182">
        <f>IF(H30="AFIII",VLOOKUP($D31,Sheet1!$A$34:$K$48,5,FALSE),IF(H30="UBIII",VLOOKUP($D31,Sheet1!$A$34:$K$48,8,FALSE),VLOOKUP($D31,Sheet1!$A$34:$K$48,2,FALSE)))</f>
        <v>1.67</v>
      </c>
      <c r="F31" s="182">
        <f>ROUNDDOWN((IF(H30="AFIII",VLOOKUP($D31,Sheet1!$A$34:$K$48,5,FALSE),IF(H30="UBIII",VLOOKUP($D31,Sheet1!$A$34:$K$48,8,FALSE),VLOOKUP($D31,Sheet1!$A$34:$K$48,2,FALSE))))*0.85,2)</f>
        <v>1.41</v>
      </c>
      <c r="G31" s="182">
        <f t="shared" si="39"/>
        <v>2.39</v>
      </c>
      <c r="H31" s="183" t="s">
        <v>122</v>
      </c>
      <c r="I31" s="182">
        <v>10</v>
      </c>
      <c r="K31" s="182">
        <f t="shared" si="49"/>
        <v>1.3900000000000006</v>
      </c>
      <c r="L31" s="182">
        <f t="shared" si="40"/>
        <v>-3.18</v>
      </c>
      <c r="O31" s="182">
        <f t="shared" si="41"/>
        <v>119.24999999999991</v>
      </c>
      <c r="R31" s="182">
        <f t="shared" si="51"/>
        <v>1.6800000000000002</v>
      </c>
      <c r="U31" s="184">
        <f t="shared" si="43"/>
        <v>21.959999999999958</v>
      </c>
      <c r="V31" s="201">
        <f>IF(H30="AFIII",VLOOKUP(D31,Sheet1!$A$4:$H$18,5,FALSE),IF(H30="UBIII",VLOOKUP(D31,Sheet1!$A$4:$H$18,8,FALSE),IF(H30="",VLOOKUP(D31,Sheet1!$A$4:$H$18,2,FALSE),"0")))</f>
        <v>265</v>
      </c>
      <c r="W31" s="201">
        <f t="shared" si="44"/>
        <v>0</v>
      </c>
      <c r="X31" s="208">
        <f t="shared" si="45"/>
        <v>1460</v>
      </c>
      <c r="Y31" s="171" t="str">
        <f t="shared" si="46"/>
        <v>SUCCESS</v>
      </c>
      <c r="Z31" s="171" t="str">
        <f t="shared" si="47"/>
        <v>SUCCESS</v>
      </c>
      <c r="AA31" s="185">
        <f t="shared" si="48"/>
        <v>160.94944150499705</v>
      </c>
    </row>
    <row r="32" spans="1:27">
      <c r="A32" s="12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295</v>
      </c>
      <c r="B32" s="123">
        <f t="shared" si="37"/>
        <v>11246</v>
      </c>
      <c r="C32" s="124">
        <f t="shared" si="38"/>
        <v>70.900000000000006</v>
      </c>
      <c r="D32" s="186" t="s">
        <v>19</v>
      </c>
      <c r="E32" s="187">
        <f>IF(H31="AFIII",VLOOKUP($D32,Sheet1!$A$34:$K$48,5,FALSE),IF(H31="UBIII",VLOOKUP($D32,Sheet1!$A$34:$K$48,8,FALSE),VLOOKUP($D32,Sheet1!$A$34:$K$48,2,FALSE)))</f>
        <v>2.86</v>
      </c>
      <c r="F32" s="187">
        <f>ROUNDDOWN((IF(H31="AFIII",VLOOKUP($D32,Sheet1!$A$34:$K$48,5,FALSE),IF(H31="UBIII",VLOOKUP($D32,Sheet1!$A$34:$K$48,8,FALSE),VLOOKUP($D32,Sheet1!$A$34:$K$48,2,FALSE))))*0.85,2)</f>
        <v>2.4300000000000002</v>
      </c>
      <c r="G32" s="187">
        <f t="shared" si="39"/>
        <v>2.86</v>
      </c>
      <c r="H32" s="188" t="s">
        <v>122</v>
      </c>
      <c r="I32" s="187">
        <f>I31-G32</f>
        <v>7.1400000000000006</v>
      </c>
      <c r="J32" s="188"/>
      <c r="K32" s="187">
        <f t="shared" si="49"/>
        <v>-1.4699999999999993</v>
      </c>
      <c r="L32" s="187">
        <f t="shared" si="40"/>
        <v>-6.04</v>
      </c>
      <c r="M32" s="188"/>
      <c r="N32" s="187"/>
      <c r="O32" s="187">
        <f t="shared" si="41"/>
        <v>116.38999999999992</v>
      </c>
      <c r="P32" s="188" t="s">
        <v>17</v>
      </c>
      <c r="Q32" s="187">
        <v>21</v>
      </c>
      <c r="R32" s="187">
        <f t="shared" si="51"/>
        <v>-1.1799999999999997</v>
      </c>
      <c r="S32" s="188"/>
      <c r="T32" s="187"/>
      <c r="U32" s="189">
        <f t="shared" si="43"/>
        <v>19.099999999999959</v>
      </c>
      <c r="V32" s="209">
        <f>IF(H31="AFIII",VLOOKUP(D32,Sheet1!$A$4:$H$18,5,FALSE),IF(H31="UBIII",VLOOKUP(D32,Sheet1!$A$4:$H$18,8,FALSE),IF(H31="",VLOOKUP(D32,Sheet1!$A$4:$H$18,2,FALSE),"0")))</f>
        <v>1060</v>
      </c>
      <c r="W32" s="209">
        <f t="shared" si="44"/>
        <v>7033</v>
      </c>
      <c r="X32" s="210">
        <f t="shared" si="45"/>
        <v>7433</v>
      </c>
      <c r="Y32" s="190" t="str">
        <f t="shared" si="46"/>
        <v>SUCCESS</v>
      </c>
      <c r="Z32" s="190" t="str">
        <f t="shared" si="47"/>
        <v>ERROR</v>
      </c>
      <c r="AA32" s="185">
        <f t="shared" si="48"/>
        <v>158.61777150916782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168</v>
      </c>
      <c r="B33" s="113">
        <f t="shared" si="37"/>
        <v>11414</v>
      </c>
      <c r="C33" s="118">
        <f t="shared" si="38"/>
        <v>73.290000000000006</v>
      </c>
      <c r="D33" s="181" t="s">
        <v>4</v>
      </c>
      <c r="E33" s="182">
        <f>IF(H32="AFIII",VLOOKUP($D33,Sheet1!$A$34:$K$48,5,FALSE),IF(H32="UBIII",VLOOKUP($D33,Sheet1!$A$34:$K$48,8,FALSE),VLOOKUP($D33,Sheet1!$A$34:$K$48,2,FALSE)))</f>
        <v>1.67</v>
      </c>
      <c r="F33" s="182">
        <f>ROUNDDOWN((IF(H32="AFIII",VLOOKUP($D33,Sheet1!$A$34:$K$48,5,FALSE),IF(H32="UBIII",VLOOKUP($D33,Sheet1!$A$34:$K$48,8,FALSE),VLOOKUP($D33,Sheet1!$A$34:$K$48,2,FALSE))))*0.85,2)</f>
        <v>1.41</v>
      </c>
      <c r="G33" s="182">
        <f t="shared" si="39"/>
        <v>2.39</v>
      </c>
      <c r="H33" s="183" t="s">
        <v>84</v>
      </c>
      <c r="I33" s="182">
        <v>10</v>
      </c>
      <c r="J33" s="183" t="s">
        <v>105</v>
      </c>
      <c r="K33" s="182">
        <v>30</v>
      </c>
      <c r="L33" s="182">
        <v>60</v>
      </c>
      <c r="O33" s="182">
        <f t="shared" si="41"/>
        <v>113.99999999999991</v>
      </c>
      <c r="Q33" s="182">
        <f>Q32-G33</f>
        <v>18.61</v>
      </c>
      <c r="U33" s="184">
        <f t="shared" si="43"/>
        <v>16.709999999999958</v>
      </c>
      <c r="V33" s="201">
        <f>IF(H32="AFIII",VLOOKUP(D33,Sheet1!$A$4:$H$18,5,FALSE),IF(H32="UBIII",VLOOKUP(D33,Sheet1!$A$4:$H$18,8,FALSE),IF(H32="",VLOOKUP(D33,Sheet1!$A$4:$H$18,2,FALSE),"0")))</f>
        <v>442</v>
      </c>
      <c r="W33" s="201">
        <f t="shared" si="44"/>
        <v>7033</v>
      </c>
      <c r="X33" s="208">
        <f t="shared" si="45"/>
        <v>10917</v>
      </c>
      <c r="Y33" s="171" t="str">
        <f t="shared" si="46"/>
        <v>SUCCESS</v>
      </c>
      <c r="Z33" s="171" t="str">
        <f t="shared" si="47"/>
        <v>ERROR</v>
      </c>
      <c r="AA33" s="185">
        <f t="shared" si="48"/>
        <v>155.73748123891389</v>
      </c>
    </row>
    <row r="34" spans="1:27">
      <c r="A34" s="11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504</v>
      </c>
      <c r="B34" s="113">
        <f t="shared" si="37"/>
        <v>11918</v>
      </c>
      <c r="C34" s="118">
        <f t="shared" si="38"/>
        <v>76.150000000000006</v>
      </c>
      <c r="D34" s="181" t="s">
        <v>6</v>
      </c>
      <c r="E34" s="182">
        <f>IF(H33="AFIII",VLOOKUP($D34,Sheet1!$A$34:$K$48,5,FALSE),IF(H33="UBIII",VLOOKUP($D34,Sheet1!$A$34:$K$48,8,FALSE),VLOOKUP($D34,Sheet1!$A$34:$K$48,2,FALSE)))</f>
        <v>2.86</v>
      </c>
      <c r="F34" s="182">
        <f>ROUNDDOWN((IF(H33="AFIII",VLOOKUP($D34,Sheet1!$A$34:$K$48,5,FALSE),IF(H33="UBIII",VLOOKUP($D34,Sheet1!$A$34:$K$48,8,FALSE),VLOOKUP($D34,Sheet1!$A$34:$K$48,2,FALSE))))*0.85,2)</f>
        <v>2.4300000000000002</v>
      </c>
      <c r="G34" s="182">
        <f>IF(M33="迅速",IF(S33="黒魔紋",$F$1,$E$1),IF(S33="黒魔紋",IF(F34&lt;$F$1,$F$1,F34),IF(E34&lt;$E$1,$E$1,E34)))</f>
        <v>2.86</v>
      </c>
      <c r="H34" s="183" t="s">
        <v>84</v>
      </c>
      <c r="I34" s="182">
        <f>I33-G34</f>
        <v>7.1400000000000006</v>
      </c>
      <c r="K34" s="182">
        <f>K33-G34</f>
        <v>27.14</v>
      </c>
      <c r="L34" s="182">
        <f>L33-G34</f>
        <v>57.14</v>
      </c>
      <c r="N34" s="182">
        <v>20</v>
      </c>
      <c r="O34" s="182">
        <f t="shared" si="41"/>
        <v>111.13999999999992</v>
      </c>
      <c r="Q34" s="182">
        <f t="shared" ref="Q34:Q40" si="52">Q33-G34</f>
        <v>15.75</v>
      </c>
      <c r="U34" s="184">
        <f t="shared" si="43"/>
        <v>13.849999999999959</v>
      </c>
      <c r="V34" s="201">
        <f>IF(H33="AFIII",VLOOKUP(D34,Sheet1!$A$4:$H$18,5,FALSE),IF(H33="UBIII",VLOOKUP(D34,Sheet1!$A$4:$H$18,8,FALSE),IF(H33="",VLOOKUP(D34,Sheet1!$A$4:$H$18,2,FALSE),"0")))</f>
        <v>1768</v>
      </c>
      <c r="W34" s="201">
        <f t="shared" si="44"/>
        <v>0</v>
      </c>
      <c r="X34" s="208">
        <f t="shared" si="45"/>
        <v>9149</v>
      </c>
      <c r="Y34" s="171" t="str">
        <f t="shared" si="46"/>
        <v>SUCCESS</v>
      </c>
      <c r="Z34" s="171" t="str">
        <f t="shared" si="47"/>
        <v>SUCCESS</v>
      </c>
      <c r="AA34" s="185">
        <f t="shared" si="48"/>
        <v>156.50689428759026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604</v>
      </c>
      <c r="B35" s="113">
        <f t="shared" si="37"/>
        <v>12522</v>
      </c>
      <c r="C35" s="118">
        <f t="shared" si="38"/>
        <v>79.010000000000005</v>
      </c>
      <c r="D35" s="181" t="s">
        <v>6</v>
      </c>
      <c r="E35" s="182">
        <f>IF(H34="AFIII",VLOOKUP($D35,Sheet1!$A$34:$K$48,5,FALSE),IF(H34="UBIII",VLOOKUP($D35,Sheet1!$A$34:$K$48,8,FALSE),VLOOKUP($D35,Sheet1!$A$34:$K$48,2,FALSE)))</f>
        <v>2.86</v>
      </c>
      <c r="F35" s="182">
        <f>ROUNDDOWN((IF(H34="AFIII",VLOOKUP($D35,Sheet1!$A$34:$K$48,5,FALSE),IF(H34="UBIII",VLOOKUP($D35,Sheet1!$A$34:$K$48,8,FALSE),VLOOKUP($D35,Sheet1!$A$34:$K$48,2,FALSE))))*0.85,2)</f>
        <v>2.4300000000000002</v>
      </c>
      <c r="G35" s="182">
        <f t="shared" ref="G35:G47" si="53">IF(M34="迅速",IF(S34="黒魔紋",$F$1,$E$1),IF(S34="黒魔紋",IF(F35&lt;$F$1,$F$1,F35),IF(E35&lt;$E$1,$E$1,E35)))</f>
        <v>2.86</v>
      </c>
      <c r="H35" s="183" t="s">
        <v>84</v>
      </c>
      <c r="I35" s="182">
        <f t="shared" ref="I35" si="54">I34-G35</f>
        <v>4.2800000000000011</v>
      </c>
      <c r="K35" s="182">
        <f t="shared" ref="K35:K36" si="55">K34-G35</f>
        <v>24.28</v>
      </c>
      <c r="L35" s="182">
        <f t="shared" ref="L35:L36" si="56">L34-G35</f>
        <v>54.28</v>
      </c>
      <c r="N35" s="182">
        <f>N34-G35</f>
        <v>17.14</v>
      </c>
      <c r="O35" s="182">
        <f t="shared" si="41"/>
        <v>108.27999999999992</v>
      </c>
      <c r="P35" s="183" t="s">
        <v>131</v>
      </c>
      <c r="Q35" s="182">
        <f t="shared" si="52"/>
        <v>12.89</v>
      </c>
      <c r="R35" s="182">
        <v>60</v>
      </c>
      <c r="U35" s="184">
        <f t="shared" si="43"/>
        <v>10.989999999999959</v>
      </c>
      <c r="V35" s="201">
        <f>IF(H34="AFIII",VLOOKUP(D35,Sheet1!$A$4:$H$18,5,FALSE),IF(H34="UBIII",VLOOKUP(D35,Sheet1!$A$4:$H$18,8,FALSE),IF(H34="",VLOOKUP(D35,Sheet1!$A$4:$H$18,2,FALSE),"0")))</f>
        <v>1768</v>
      </c>
      <c r="W35" s="201">
        <f t="shared" si="44"/>
        <v>0</v>
      </c>
      <c r="X35" s="208">
        <f t="shared" si="45"/>
        <v>7381</v>
      </c>
      <c r="Y35" s="171" t="str">
        <f t="shared" si="46"/>
        <v>SUCCESS</v>
      </c>
      <c r="Z35" s="171" t="str">
        <f t="shared" si="47"/>
        <v>SUCCESS</v>
      </c>
      <c r="AA35" s="185">
        <f t="shared" si="48"/>
        <v>158.48626756106822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388</v>
      </c>
      <c r="B36" s="113">
        <f t="shared" si="37"/>
        <v>12910</v>
      </c>
      <c r="C36" s="118">
        <f t="shared" si="38"/>
        <v>81.400000000000006</v>
      </c>
      <c r="D36" s="181" t="s">
        <v>1</v>
      </c>
      <c r="E36" s="182">
        <f>IF(H35="AFIII",VLOOKUP($D36,Sheet1!$A$34:$K$48,5,FALSE),IF(H35="UBIII",VLOOKUP($D36,Sheet1!$A$34:$K$48,8,FALSE),VLOOKUP($D36,Sheet1!$A$34:$K$48,2,FALSE)))</f>
        <v>2.39</v>
      </c>
      <c r="F36" s="182">
        <f>ROUNDDOWN((IF(H35="AFIII",VLOOKUP($D36,Sheet1!$A$34:$K$48,5,FALSE),IF(H35="UBIII",VLOOKUP($D36,Sheet1!$A$34:$K$48,8,FALSE),VLOOKUP($D36,Sheet1!$A$34:$K$48,2,FALSE))))*0.85,2)</f>
        <v>2.0299999999999998</v>
      </c>
      <c r="G36" s="182">
        <f t="shared" si="53"/>
        <v>2.39</v>
      </c>
      <c r="H36" s="183" t="s">
        <v>84</v>
      </c>
      <c r="I36" s="182">
        <v>10</v>
      </c>
      <c r="K36" s="182">
        <f t="shared" si="55"/>
        <v>21.89</v>
      </c>
      <c r="L36" s="182">
        <f t="shared" si="56"/>
        <v>51.89</v>
      </c>
      <c r="N36" s="182">
        <f t="shared" ref="N36" si="57">N35-G36</f>
        <v>14.75</v>
      </c>
      <c r="O36" s="182">
        <f t="shared" si="41"/>
        <v>105.88999999999992</v>
      </c>
      <c r="Q36" s="182">
        <f t="shared" si="52"/>
        <v>10.5</v>
      </c>
      <c r="R36" s="182">
        <f t="shared" ref="R36:R38" si="58">R35-G36</f>
        <v>57.61</v>
      </c>
      <c r="U36" s="184">
        <f t="shared" si="43"/>
        <v>8.5999999999999588</v>
      </c>
      <c r="V36" s="201">
        <f>IF(H35="AFIII",VLOOKUP(D36,Sheet1!$A$4:$H$18,5,FALSE),IF(H35="UBIII",VLOOKUP(D36,Sheet1!$A$4:$H$18,8,FALSE),IF(H35="",VLOOKUP(D36,Sheet1!$A$4:$H$18,2,FALSE),"0")))</f>
        <v>2120</v>
      </c>
      <c r="W36" s="201">
        <f t="shared" si="44"/>
        <v>0</v>
      </c>
      <c r="X36" s="208">
        <f t="shared" si="45"/>
        <v>5261</v>
      </c>
      <c r="Y36" s="171" t="str">
        <f t="shared" si="46"/>
        <v>SUCCESS</v>
      </c>
      <c r="Z36" s="171" t="str">
        <f t="shared" si="47"/>
        <v>SUCCESS</v>
      </c>
      <c r="AA36" s="185">
        <f t="shared" si="48"/>
        <v>158.5995085995086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604</v>
      </c>
      <c r="B37" s="113">
        <f t="shared" si="37"/>
        <v>13514</v>
      </c>
      <c r="C37" s="118">
        <f t="shared" si="38"/>
        <v>84.26</v>
      </c>
      <c r="D37" s="181" t="s">
        <v>6</v>
      </c>
      <c r="E37" s="182">
        <f>IF(H36="AFIII",VLOOKUP($D37,Sheet1!$A$34:$K$48,5,FALSE),IF(H36="UBIII",VLOOKUP($D37,Sheet1!$A$34:$K$48,8,FALSE),VLOOKUP($D37,Sheet1!$A$34:$K$48,2,FALSE)))</f>
        <v>2.86</v>
      </c>
      <c r="F37" s="182">
        <f>ROUNDDOWN((IF(H36="AFIII",VLOOKUP($D37,Sheet1!$A$34:$K$48,5,FALSE),IF(H36="UBIII",VLOOKUP($D37,Sheet1!$A$34:$K$48,8,FALSE),VLOOKUP($D37,Sheet1!$A$34:$K$48,2,FALSE))))*0.85,2)</f>
        <v>2.4300000000000002</v>
      </c>
      <c r="G37" s="182">
        <f t="shared" si="53"/>
        <v>2.86</v>
      </c>
      <c r="H37" s="183" t="s">
        <v>84</v>
      </c>
      <c r="I37" s="182">
        <f>I36-G37</f>
        <v>7.1400000000000006</v>
      </c>
      <c r="K37" s="182">
        <f>K36-G37</f>
        <v>19.03</v>
      </c>
      <c r="L37" s="182">
        <f>L36-G37</f>
        <v>49.03</v>
      </c>
      <c r="N37" s="182">
        <f>N36-G37</f>
        <v>11.89</v>
      </c>
      <c r="O37" s="182">
        <f t="shared" si="41"/>
        <v>103.02999999999992</v>
      </c>
      <c r="Q37" s="182">
        <f t="shared" si="52"/>
        <v>7.6400000000000006</v>
      </c>
      <c r="R37" s="182">
        <f t="shared" si="58"/>
        <v>54.75</v>
      </c>
      <c r="U37" s="184">
        <f t="shared" si="43"/>
        <v>5.7399999999999594</v>
      </c>
      <c r="V37" s="201">
        <f>IF(H36="AFIII",VLOOKUP(D37,Sheet1!$A$4:$H$18,5,FALSE),IF(H36="UBIII",VLOOKUP(D37,Sheet1!$A$4:$H$18,8,FALSE),IF(H36="",VLOOKUP(D37,Sheet1!$A$4:$H$18,2,FALSE),"0")))</f>
        <v>1768</v>
      </c>
      <c r="W37" s="201">
        <f t="shared" si="44"/>
        <v>0</v>
      </c>
      <c r="X37" s="208">
        <f t="shared" si="45"/>
        <v>3493</v>
      </c>
      <c r="Y37" s="171" t="str">
        <f t="shared" si="46"/>
        <v>SUCCESS</v>
      </c>
      <c r="Z37" s="171" t="str">
        <f t="shared" si="47"/>
        <v>SUCCESS</v>
      </c>
      <c r="AA37" s="185">
        <f t="shared" si="48"/>
        <v>160.38452409209589</v>
      </c>
    </row>
    <row r="38" spans="1:27">
      <c r="A38" s="112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604</v>
      </c>
      <c r="B38" s="113">
        <f t="shared" si="37"/>
        <v>14118</v>
      </c>
      <c r="C38" s="118">
        <f t="shared" si="38"/>
        <v>87.12</v>
      </c>
      <c r="D38" s="181" t="s">
        <v>6</v>
      </c>
      <c r="E38" s="182">
        <f>IF(H37="AFIII",VLOOKUP($D38,Sheet1!$A$34:$K$48,5,FALSE),IF(H37="UBIII",VLOOKUP($D38,Sheet1!$A$34:$K$48,8,FALSE),VLOOKUP($D38,Sheet1!$A$34:$K$48,2,FALSE)))</f>
        <v>2.86</v>
      </c>
      <c r="F38" s="182">
        <f>ROUNDDOWN((IF(H37="AFIII",VLOOKUP($D38,Sheet1!$A$34:$K$48,5,FALSE),IF(H37="UBIII",VLOOKUP($D38,Sheet1!$A$34:$K$48,8,FALSE),VLOOKUP($D38,Sheet1!$A$34:$K$48,2,FALSE))))*0.85,2)</f>
        <v>2.4300000000000002</v>
      </c>
      <c r="G38" s="182">
        <f t="shared" si="53"/>
        <v>2.86</v>
      </c>
      <c r="H38" s="183" t="s">
        <v>84</v>
      </c>
      <c r="I38" s="182">
        <f>I37-G38</f>
        <v>4.2800000000000011</v>
      </c>
      <c r="K38" s="182">
        <f t="shared" ref="K38:K40" si="59">K37-G38</f>
        <v>16.170000000000002</v>
      </c>
      <c r="L38" s="182">
        <f t="shared" ref="L38:L40" si="60">L37-G38</f>
        <v>46.17</v>
      </c>
      <c r="N38" s="182">
        <f t="shared" ref="N38:N40" si="61">N37-G38</f>
        <v>9.0300000000000011</v>
      </c>
      <c r="O38" s="182">
        <f t="shared" si="41"/>
        <v>100.16999999999992</v>
      </c>
      <c r="Q38" s="182">
        <f t="shared" si="52"/>
        <v>4.7800000000000011</v>
      </c>
      <c r="R38" s="182">
        <f t="shared" si="58"/>
        <v>51.89</v>
      </c>
      <c r="U38" s="184">
        <f t="shared" si="43"/>
        <v>2.8799999999999595</v>
      </c>
      <c r="V38" s="201">
        <f>IF(H37="AFIII",VLOOKUP(D38,Sheet1!$A$4:$H$18,5,FALSE),IF(H37="UBIII",VLOOKUP(D38,Sheet1!$A$4:$H$18,8,FALSE),IF(H37="",VLOOKUP(D38,Sheet1!$A$4:$H$18,2,FALSE),"0")))</f>
        <v>1768</v>
      </c>
      <c r="W38" s="201">
        <f t="shared" si="44"/>
        <v>0</v>
      </c>
      <c r="X38" s="208">
        <f t="shared" si="45"/>
        <v>1725</v>
      </c>
      <c r="Y38" s="171" t="str">
        <f t="shared" si="46"/>
        <v>SUCCESS</v>
      </c>
      <c r="Z38" s="171" t="str">
        <f t="shared" si="47"/>
        <v>SUCCESS</v>
      </c>
      <c r="AA38" s="185">
        <f t="shared" si="48"/>
        <v>162.05234159779613</v>
      </c>
    </row>
    <row r="39" spans="1:27">
      <c r="A39" s="112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518</v>
      </c>
      <c r="B39" s="113">
        <f t="shared" si="37"/>
        <v>14636</v>
      </c>
      <c r="C39" s="118">
        <f>C38+G39</f>
        <v>89.51</v>
      </c>
      <c r="D39" s="181" t="s">
        <v>129</v>
      </c>
      <c r="E39" s="182">
        <f>IF(H38="AFIII",VLOOKUP($D39,Sheet1!$A$34:$K$48,5,FALSE),IF(H38="UBIII",VLOOKUP($D39,Sheet1!$A$34:$K$48,8,FALSE),VLOOKUP($D39,Sheet1!$A$34:$K$48,2,FALSE)))</f>
        <v>2.39</v>
      </c>
      <c r="F39" s="182">
        <f>ROUNDDOWN((IF(H38="AFIII",VLOOKUP($D39,Sheet1!$A$34:$K$48,5,FALSE),IF(H38="UBIII",VLOOKUP($D39,Sheet1!$A$34:$K$48,8,FALSE),VLOOKUP($D39,Sheet1!$A$34:$K$48,2,FALSE))))*0.85,2)</f>
        <v>2.0299999999999998</v>
      </c>
      <c r="G39" s="182">
        <f t="shared" si="53"/>
        <v>2.39</v>
      </c>
      <c r="H39" s="183" t="s">
        <v>84</v>
      </c>
      <c r="I39" s="182">
        <v>10</v>
      </c>
      <c r="K39" s="182">
        <f t="shared" si="59"/>
        <v>13.780000000000001</v>
      </c>
      <c r="L39" s="182">
        <f t="shared" si="60"/>
        <v>43.78</v>
      </c>
      <c r="N39" s="182">
        <f t="shared" si="61"/>
        <v>6.6400000000000006</v>
      </c>
      <c r="O39" s="182">
        <f t="shared" si="41"/>
        <v>97.779999999999916</v>
      </c>
      <c r="Q39" s="182">
        <f t="shared" si="52"/>
        <v>2.390000000000001</v>
      </c>
      <c r="R39" s="182">
        <f>R38-G39</f>
        <v>49.5</v>
      </c>
      <c r="S39" s="183" t="s">
        <v>87</v>
      </c>
      <c r="T39" s="182">
        <v>30</v>
      </c>
      <c r="U39" s="184">
        <v>90</v>
      </c>
      <c r="V39" s="201">
        <f>IF(H38="AFIII",VLOOKUP(D39,Sheet1!$A$4:$H$18,5,FALSE),IF(H38="UBIII",VLOOKUP(D39,Sheet1!$A$4:$H$18,8,FALSE),IF(H38="",VLOOKUP(D39,Sheet1!$A$4:$H$18,2,FALSE),"0")))</f>
        <v>0</v>
      </c>
      <c r="W39" s="201">
        <f t="shared" si="44"/>
        <v>0</v>
      </c>
      <c r="X39" s="208">
        <f>IF(M39="コンバート",(IF(D39="フレア",0,IF(X38-V39+W39&gt;$X$3,$X$3-V39,X38-V39+W39)))+$X$1,IF(D39="フレア",0,IF(X38-V39+W39&gt;$X$3,$X$3-V39,X38-V39+W39)))</f>
        <v>1725</v>
      </c>
      <c r="Y39" s="171" t="str">
        <f t="shared" si="46"/>
        <v>SUCCESS</v>
      </c>
      <c r="Z39" s="171" t="str">
        <f t="shared" si="47"/>
        <v>SUCCESS</v>
      </c>
      <c r="AA39" s="185">
        <f t="shared" si="48"/>
        <v>163.51245670874761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201</v>
      </c>
      <c r="B40" s="113">
        <f t="shared" si="37"/>
        <v>14837</v>
      </c>
      <c r="C40" s="118">
        <f t="shared" ref="C40" si="62">C39+G40</f>
        <v>91.54</v>
      </c>
      <c r="D40" s="181" t="s">
        <v>12</v>
      </c>
      <c r="E40" s="182">
        <f>IF(H39="AFIII",VLOOKUP($D40,Sheet1!$A$34:$K$48,5,FALSE),IF(H39="UBIII",VLOOKUP($D40,Sheet1!$A$34:$K$48,8,FALSE),VLOOKUP($D40,Sheet1!$A$34:$K$48,2,FALSE)))</f>
        <v>1.67</v>
      </c>
      <c r="F40" s="182">
        <f>ROUNDDOWN((IF(H39="AFIII",VLOOKUP($D40,Sheet1!$A$34:$K$48,5,FALSE),IF(H39="UBIII",VLOOKUP($D40,Sheet1!$A$34:$K$48,8,FALSE),VLOOKUP($D40,Sheet1!$A$34:$K$48,2,FALSE))))*0.85,2)</f>
        <v>1.41</v>
      </c>
      <c r="G40" s="182">
        <f>IF(M39="迅速",IF(S39="黒魔紋",$F$1,$E$1),IF(S39="黒魔紋",IF(F40&lt;$F$1,$F$1,F40),IF(E40&lt;$E$1,$E$1,E40)))</f>
        <v>2.0299999999999998</v>
      </c>
      <c r="H40" s="183" t="s">
        <v>122</v>
      </c>
      <c r="I40" s="182">
        <v>10</v>
      </c>
      <c r="K40" s="182">
        <f t="shared" si="59"/>
        <v>11.750000000000002</v>
      </c>
      <c r="L40" s="182">
        <f t="shared" si="60"/>
        <v>41.75</v>
      </c>
      <c r="N40" s="182">
        <f t="shared" si="61"/>
        <v>4.6100000000000012</v>
      </c>
      <c r="O40" s="182">
        <f t="shared" si="41"/>
        <v>95.749999999999915</v>
      </c>
      <c r="Q40" s="182">
        <f t="shared" si="52"/>
        <v>0.36000000000000121</v>
      </c>
      <c r="R40" s="182">
        <f t="shared" ref="R40" si="63">R39-G40</f>
        <v>47.47</v>
      </c>
      <c r="S40" s="183" t="s">
        <v>87</v>
      </c>
      <c r="T40" s="182">
        <f t="shared" ref="T40" si="64">T39-G40</f>
        <v>27.97</v>
      </c>
      <c r="U40" s="184">
        <f t="shared" ref="U40" si="65">U39-G40</f>
        <v>87.97</v>
      </c>
      <c r="V40" s="201">
        <f>IF(H39="AFIII",VLOOKUP(D40,Sheet1!$A$4:$H$18,5,FALSE),IF(H39="UBIII",VLOOKUP(D40,Sheet1!$A$4:$H$18,8,FALSE),IF(H39="",VLOOKUP(D40,Sheet1!$A$4:$H$18,2,FALSE),"0")))</f>
        <v>265</v>
      </c>
      <c r="W40" s="201">
        <f t="shared" si="44"/>
        <v>0</v>
      </c>
      <c r="X40" s="208">
        <f t="shared" ref="X40" si="66">IF(M40="コンバート",(IF(D40="フレア",0,IF(X39-V40+W40&gt;$X$3,$X$3-V40,X39-V40+W40)))+$X$1,IF(D40="フレア",0,IF(X39-V40+W40&gt;$X$3,$X$3-V40,X39-V40+W40)))</f>
        <v>1460</v>
      </c>
      <c r="Y40" s="171" t="str">
        <f t="shared" si="46"/>
        <v>SUCCESS</v>
      </c>
      <c r="Z40" s="171" t="str">
        <f t="shared" si="47"/>
        <v>SUCCESS</v>
      </c>
      <c r="AA40" s="185">
        <f t="shared" si="48"/>
        <v>162.08214987983393</v>
      </c>
    </row>
    <row r="41" spans="1:27">
      <c r="A41" s="119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336</v>
      </c>
      <c r="B41" s="120">
        <f t="shared" ref="B41:B65" si="67">B40+A41</f>
        <v>15173</v>
      </c>
      <c r="C41" s="121">
        <f t="shared" ref="C41:C63" si="68">C40+G41</f>
        <v>93.970000000000013</v>
      </c>
      <c r="D41" s="191" t="s">
        <v>14</v>
      </c>
      <c r="E41" s="192">
        <f>IF(H40="AFIII",VLOOKUP($D41,Sheet1!$A$34:$K$48,5,FALSE),IF(H40="UBIII",VLOOKUP($D41,Sheet1!$A$34:$K$48,8,FALSE),VLOOKUP($D41,Sheet1!$A$34:$K$48,2,FALSE)))</f>
        <v>2.86</v>
      </c>
      <c r="F41" s="192">
        <f>ROUNDDOWN((IF(H40="AFIII",VLOOKUP($D41,Sheet1!$A$34:$K$48,5,FALSE),IF(H40="UBIII",VLOOKUP($D41,Sheet1!$A$34:$K$48,8,FALSE),VLOOKUP($D41,Sheet1!$A$34:$K$48,2,FALSE))))*0.85,2)</f>
        <v>2.4300000000000002</v>
      </c>
      <c r="G41" s="192">
        <f t="shared" ref="G41:G64" si="69">IF(M40="迅速",IF(S40="黒魔紋",$F$1,$E$1),IF(S40="黒魔紋",IF(F41&lt;$F$1,$F$1,F41),IF(E41&lt;$E$1,$E$1,E41)))</f>
        <v>2.4300000000000002</v>
      </c>
      <c r="H41" s="193" t="s">
        <v>122</v>
      </c>
      <c r="I41" s="192">
        <f t="shared" ref="I41" si="70">I40-G41</f>
        <v>7.57</v>
      </c>
      <c r="J41" s="193"/>
      <c r="K41" s="192">
        <v>25</v>
      </c>
      <c r="L41" s="192">
        <f t="shared" ref="L41:L57" si="71">L40-G41</f>
        <v>39.32</v>
      </c>
      <c r="M41" s="193"/>
      <c r="N41" s="192"/>
      <c r="O41" s="192">
        <f t="shared" ref="O41:O65" si="72">O40-G41</f>
        <v>93.319999999999908</v>
      </c>
      <c r="P41" s="193"/>
      <c r="Q41" s="192"/>
      <c r="R41" s="192">
        <f t="shared" ref="R41:R52" si="73">R40-G41</f>
        <v>45.04</v>
      </c>
      <c r="S41" s="193" t="s">
        <v>87</v>
      </c>
      <c r="T41" s="192">
        <f t="shared" ref="T41:T45" si="74">T40-G41</f>
        <v>25.54</v>
      </c>
      <c r="U41" s="194">
        <f t="shared" ref="U41:U65" si="75">U40-G41</f>
        <v>85.539999999999992</v>
      </c>
      <c r="V41" s="211">
        <f>IF(H40="AFIII",VLOOKUP(D41,Sheet1!$A$4:$H$18,5,FALSE),IF(H40="UBIII",VLOOKUP(D41,Sheet1!$A$4:$H$18,8,FALSE),IF(H40="",VLOOKUP(D41,Sheet1!$A$4:$H$18,2,FALSE),"0")))</f>
        <v>884</v>
      </c>
      <c r="W41" s="211">
        <f t="shared" ref="W41:W65" si="76">IF(H40="UBIII",$X$2,0)</f>
        <v>7033</v>
      </c>
      <c r="X41" s="212">
        <f t="shared" ref="X41:X63" si="77">IF(M41="コンバート",(IF(D41="フレア",0,IF(X40-V41+W41&gt;$X$3,$X$3-V41,X40-V41+W41)))+$X$1,IF(D41="フレア",0,IF(X40-V41+W41&gt;$X$3,$X$3-V41,X40-V41+W41)))</f>
        <v>7609</v>
      </c>
      <c r="Y41" s="195" t="str">
        <f t="shared" ref="Y41:Y65" si="78">IF(X40-V41&lt;0,"ERROR","SUCCESS")</f>
        <v>SUCCESS</v>
      </c>
      <c r="Z41" s="195" t="str">
        <f t="shared" ref="Z41:Z65" si="79">IF(K40-G41&lt;0,"ERROR","SUCCESS")</f>
        <v>SUCCESS</v>
      </c>
      <c r="AA41" s="185">
        <f t="shared" si="48"/>
        <v>161.46642545493239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168</v>
      </c>
      <c r="B42" s="113">
        <f t="shared" si="67"/>
        <v>15341</v>
      </c>
      <c r="C42" s="118">
        <f t="shared" si="68"/>
        <v>96.000000000000014</v>
      </c>
      <c r="D42" s="181" t="s">
        <v>4</v>
      </c>
      <c r="E42" s="182">
        <f>IF(H41="AFIII",VLOOKUP($D42,Sheet1!$A$34:$K$48,5,FALSE),IF(H41="UBIII",VLOOKUP($D42,Sheet1!$A$34:$K$48,8,FALSE),VLOOKUP($D42,Sheet1!$A$34:$K$48,2,FALSE)))</f>
        <v>1.67</v>
      </c>
      <c r="F42" s="182">
        <f>ROUNDDOWN((IF(H41="AFIII",VLOOKUP($D42,Sheet1!$A$34:$K$48,5,FALSE),IF(H41="UBIII",VLOOKUP($D42,Sheet1!$A$34:$K$48,8,FALSE),VLOOKUP($D42,Sheet1!$A$34:$K$48,2,FALSE))))*0.85,2)</f>
        <v>1.41</v>
      </c>
      <c r="G42" s="182">
        <f t="shared" si="69"/>
        <v>2.0299999999999998</v>
      </c>
      <c r="H42" s="183" t="s">
        <v>84</v>
      </c>
      <c r="I42" s="182">
        <v>10</v>
      </c>
      <c r="K42" s="182">
        <f>K41-G42</f>
        <v>22.97</v>
      </c>
      <c r="L42" s="182">
        <f t="shared" si="71"/>
        <v>37.29</v>
      </c>
      <c r="O42" s="182">
        <f t="shared" si="72"/>
        <v>91.289999999999907</v>
      </c>
      <c r="R42" s="182">
        <f t="shared" si="73"/>
        <v>43.01</v>
      </c>
      <c r="S42" s="183" t="s">
        <v>87</v>
      </c>
      <c r="T42" s="182">
        <f t="shared" si="74"/>
        <v>23.509999999999998</v>
      </c>
      <c r="U42" s="184">
        <f t="shared" si="75"/>
        <v>83.509999999999991</v>
      </c>
      <c r="V42" s="201">
        <f>IF(H41="AFIII",VLOOKUP(D42,Sheet1!$A$4:$H$18,5,FALSE),IF(H41="UBIII",VLOOKUP(D42,Sheet1!$A$4:$H$18,8,FALSE),IF(H41="",VLOOKUP(D42,Sheet1!$A$4:$H$18,2,FALSE),"0")))</f>
        <v>442</v>
      </c>
      <c r="W42" s="201">
        <f t="shared" si="76"/>
        <v>7033</v>
      </c>
      <c r="X42" s="208">
        <f t="shared" si="77"/>
        <v>10917</v>
      </c>
      <c r="Y42" s="171" t="str">
        <f t="shared" si="78"/>
        <v>SUCCESS</v>
      </c>
      <c r="Z42" s="171" t="str">
        <f t="shared" si="79"/>
        <v>SUCCESS</v>
      </c>
      <c r="AA42" s="185">
        <f t="shared" si="48"/>
        <v>159.80208333333331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504</v>
      </c>
      <c r="B43" s="113">
        <f t="shared" si="67"/>
        <v>15845</v>
      </c>
      <c r="C43" s="118">
        <f t="shared" si="68"/>
        <v>98.430000000000021</v>
      </c>
      <c r="D43" s="181" t="s">
        <v>6</v>
      </c>
      <c r="E43" s="182">
        <f>IF(H42="AFIII",VLOOKUP($D43,Sheet1!$A$34:$K$48,5,FALSE),IF(H42="UBIII",VLOOKUP($D43,Sheet1!$A$34:$K$48,8,FALSE),VLOOKUP($D43,Sheet1!$A$34:$K$48,2,FALSE)))</f>
        <v>2.86</v>
      </c>
      <c r="F43" s="182">
        <f>ROUNDDOWN((IF(H42="AFIII",VLOOKUP($D43,Sheet1!$A$34:$K$48,5,FALSE),IF(H42="UBIII",VLOOKUP($D43,Sheet1!$A$34:$K$48,8,FALSE),VLOOKUP($D43,Sheet1!$A$34:$K$48,2,FALSE))))*0.85,2)</f>
        <v>2.4300000000000002</v>
      </c>
      <c r="G43" s="182">
        <f t="shared" si="69"/>
        <v>2.4300000000000002</v>
      </c>
      <c r="H43" s="183" t="s">
        <v>84</v>
      </c>
      <c r="I43" s="182">
        <f>I42-G43</f>
        <v>7.57</v>
      </c>
      <c r="K43" s="182">
        <f t="shared" ref="K43:K48" si="80">K42-G43</f>
        <v>20.54</v>
      </c>
      <c r="L43" s="182">
        <f t="shared" si="71"/>
        <v>34.86</v>
      </c>
      <c r="O43" s="182">
        <f t="shared" si="72"/>
        <v>88.8599999999999</v>
      </c>
      <c r="R43" s="182">
        <f t="shared" si="73"/>
        <v>40.58</v>
      </c>
      <c r="S43" s="183" t="s">
        <v>87</v>
      </c>
      <c r="T43" s="182">
        <f>T42-G43</f>
        <v>21.08</v>
      </c>
      <c r="U43" s="184">
        <f t="shared" si="75"/>
        <v>81.079999999999984</v>
      </c>
      <c r="V43" s="201">
        <f>IF(H42="AFIII",VLOOKUP(D43,Sheet1!$A$4:$H$18,5,FALSE),IF(H42="UBIII",VLOOKUP(D43,Sheet1!$A$4:$H$18,8,FALSE),IF(H42="",VLOOKUP(D43,Sheet1!$A$4:$H$18,2,FALSE),"0")))</f>
        <v>1768</v>
      </c>
      <c r="W43" s="201">
        <f t="shared" si="76"/>
        <v>0</v>
      </c>
      <c r="X43" s="208">
        <f t="shared" si="77"/>
        <v>9149</v>
      </c>
      <c r="Y43" s="171" t="str">
        <f t="shared" si="78"/>
        <v>SUCCESS</v>
      </c>
      <c r="Z43" s="171" t="str">
        <f t="shared" si="79"/>
        <v>SUCCESS</v>
      </c>
      <c r="AA43" s="185">
        <f t="shared" si="48"/>
        <v>160.97734430559785</v>
      </c>
    </row>
    <row r="44" spans="1:27">
      <c r="A44" s="112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67"/>
        <v>16349</v>
      </c>
      <c r="C44" s="118">
        <f t="shared" si="68"/>
        <v>100.86000000000003</v>
      </c>
      <c r="D44" s="181" t="s">
        <v>6</v>
      </c>
      <c r="E44" s="182">
        <f>IF(H43="AFIII",VLOOKUP($D44,Sheet1!$A$34:$K$48,5,FALSE),IF(H43="UBIII",VLOOKUP($D44,Sheet1!$A$34:$K$48,8,FALSE),VLOOKUP($D44,Sheet1!$A$34:$K$48,2,FALSE)))</f>
        <v>2.86</v>
      </c>
      <c r="F44" s="182">
        <f>ROUNDDOWN((IF(H43="AFIII",VLOOKUP($D44,Sheet1!$A$34:$K$48,5,FALSE),IF(H43="UBIII",VLOOKUP($D44,Sheet1!$A$34:$K$48,8,FALSE),VLOOKUP($D44,Sheet1!$A$34:$K$48,2,FALSE))))*0.85,2)</f>
        <v>2.4300000000000002</v>
      </c>
      <c r="G44" s="182">
        <f t="shared" si="69"/>
        <v>2.4300000000000002</v>
      </c>
      <c r="H44" s="183" t="s">
        <v>84</v>
      </c>
      <c r="I44" s="182">
        <f>I43-G44</f>
        <v>5.1400000000000006</v>
      </c>
      <c r="K44" s="182">
        <f t="shared" si="80"/>
        <v>18.11</v>
      </c>
      <c r="L44" s="182">
        <f t="shared" si="71"/>
        <v>32.43</v>
      </c>
      <c r="O44" s="182">
        <f t="shared" si="72"/>
        <v>86.429999999999893</v>
      </c>
      <c r="R44" s="182">
        <f t="shared" si="73"/>
        <v>38.15</v>
      </c>
      <c r="S44" s="183" t="s">
        <v>87</v>
      </c>
      <c r="T44" s="182">
        <f t="shared" ref="T44:T58" si="81">T43-G44</f>
        <v>18.649999999999999</v>
      </c>
      <c r="U44" s="184">
        <f t="shared" si="75"/>
        <v>78.649999999999977</v>
      </c>
      <c r="V44" s="201">
        <f>IF(H43="AFIII",VLOOKUP(D44,Sheet1!$A$4:$H$18,5,FALSE),IF(H43="UBIII",VLOOKUP(D44,Sheet1!$A$4:$H$18,8,FALSE),IF(H43="",VLOOKUP(D44,Sheet1!$A$4:$H$18,2,FALSE),"0")))</f>
        <v>1768</v>
      </c>
      <c r="W44" s="201">
        <f t="shared" si="76"/>
        <v>0</v>
      </c>
      <c r="X44" s="208">
        <f t="shared" si="77"/>
        <v>7381</v>
      </c>
      <c r="Y44" s="171" t="str">
        <f t="shared" si="78"/>
        <v>SUCCESS</v>
      </c>
      <c r="Z44" s="171" t="str">
        <f t="shared" si="79"/>
        <v>SUCCESS</v>
      </c>
      <c r="AA44" s="185">
        <f t="shared" si="48"/>
        <v>162.09597461828272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324</v>
      </c>
      <c r="B45" s="113">
        <f t="shared" si="67"/>
        <v>16673</v>
      </c>
      <c r="C45" s="118">
        <f t="shared" si="68"/>
        <v>102.89000000000003</v>
      </c>
      <c r="D45" s="181" t="s">
        <v>1</v>
      </c>
      <c r="E45" s="182">
        <f>IF(H44="AFIII",VLOOKUP($D45,Sheet1!$A$34:$K$48,5,FALSE),IF(H44="UBIII",VLOOKUP($D45,Sheet1!$A$34:$K$48,8,FALSE),VLOOKUP($D45,Sheet1!$A$34:$K$48,2,FALSE)))</f>
        <v>2.39</v>
      </c>
      <c r="F45" s="182">
        <f>ROUNDDOWN((IF(H44="AFIII",VLOOKUP($D45,Sheet1!$A$34:$K$48,5,FALSE),IF(H44="UBIII",VLOOKUP($D45,Sheet1!$A$34:$K$48,8,FALSE),VLOOKUP($D45,Sheet1!$A$34:$K$48,2,FALSE))))*0.85,2)</f>
        <v>2.0299999999999998</v>
      </c>
      <c r="G45" s="182">
        <f t="shared" si="69"/>
        <v>2.0299999999999998</v>
      </c>
      <c r="H45" s="183" t="s">
        <v>84</v>
      </c>
      <c r="I45" s="182">
        <v>10</v>
      </c>
      <c r="K45" s="182">
        <f t="shared" si="80"/>
        <v>16.079999999999998</v>
      </c>
      <c r="L45" s="182">
        <f t="shared" si="71"/>
        <v>30.4</v>
      </c>
      <c r="O45" s="182">
        <f t="shared" si="72"/>
        <v>84.399999999999892</v>
      </c>
      <c r="R45" s="182">
        <f t="shared" si="73"/>
        <v>36.119999999999997</v>
      </c>
      <c r="S45" s="183" t="s">
        <v>87</v>
      </c>
      <c r="T45" s="182">
        <f t="shared" si="81"/>
        <v>16.619999999999997</v>
      </c>
      <c r="U45" s="184">
        <f t="shared" si="75"/>
        <v>76.619999999999976</v>
      </c>
      <c r="V45" s="201">
        <f>IF(H44="AFIII",VLOOKUP(D45,Sheet1!$A$4:$H$18,5,FALSE),IF(H44="UBIII",VLOOKUP(D45,Sheet1!$A$4:$H$18,8,FALSE),IF(H44="",VLOOKUP(D45,Sheet1!$A$4:$H$18,2,FALSE),"0")))</f>
        <v>2120</v>
      </c>
      <c r="W45" s="201">
        <f t="shared" si="76"/>
        <v>0</v>
      </c>
      <c r="X45" s="208">
        <f t="shared" si="77"/>
        <v>5261</v>
      </c>
      <c r="Y45" s="171" t="str">
        <f t="shared" si="78"/>
        <v>SUCCESS</v>
      </c>
      <c r="Z45" s="171" t="str">
        <f t="shared" si="79"/>
        <v>SUCCESS</v>
      </c>
      <c r="AA45" s="185">
        <f t="shared" si="48"/>
        <v>162.04684614636986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504</v>
      </c>
      <c r="B46" s="113">
        <f t="shared" si="67"/>
        <v>17177</v>
      </c>
      <c r="C46" s="118">
        <f t="shared" si="68"/>
        <v>105.32000000000004</v>
      </c>
      <c r="D46" s="181" t="s">
        <v>6</v>
      </c>
      <c r="E46" s="182">
        <f>IF(H45="AFIII",VLOOKUP($D46,Sheet1!$A$34:$K$48,5,FALSE),IF(H45="UBIII",VLOOKUP($D46,Sheet1!$A$34:$K$48,8,FALSE),VLOOKUP($D46,Sheet1!$A$34:$K$48,2,FALSE)))</f>
        <v>2.86</v>
      </c>
      <c r="F46" s="182">
        <f>ROUNDDOWN((IF(H45="AFIII",VLOOKUP($D46,Sheet1!$A$34:$K$48,5,FALSE),IF(H45="UBIII",VLOOKUP($D46,Sheet1!$A$34:$K$48,8,FALSE),VLOOKUP($D46,Sheet1!$A$34:$K$48,2,FALSE))))*0.85,2)</f>
        <v>2.4300000000000002</v>
      </c>
      <c r="G46" s="182">
        <f t="shared" si="69"/>
        <v>2.4300000000000002</v>
      </c>
      <c r="H46" s="183" t="s">
        <v>84</v>
      </c>
      <c r="I46" s="182">
        <f>I45-G46</f>
        <v>7.57</v>
      </c>
      <c r="K46" s="182">
        <f t="shared" si="80"/>
        <v>13.649999999999999</v>
      </c>
      <c r="L46" s="182">
        <f t="shared" si="71"/>
        <v>27.97</v>
      </c>
      <c r="O46" s="182">
        <f t="shared" si="72"/>
        <v>81.969999999999885</v>
      </c>
      <c r="R46" s="182">
        <f t="shared" si="73"/>
        <v>33.69</v>
      </c>
      <c r="S46" s="183" t="s">
        <v>87</v>
      </c>
      <c r="T46" s="182">
        <f t="shared" si="81"/>
        <v>14.189999999999998</v>
      </c>
      <c r="U46" s="184">
        <f t="shared" si="75"/>
        <v>74.189999999999969</v>
      </c>
      <c r="V46" s="201">
        <f>IF(H45="AFIII",VLOOKUP(D46,Sheet1!$A$4:$H$18,5,FALSE),IF(H45="UBIII",VLOOKUP(D46,Sheet1!$A$4:$H$18,8,FALSE),IF(H45="",VLOOKUP(D46,Sheet1!$A$4:$H$18,2,FALSE),"0")))</f>
        <v>1768</v>
      </c>
      <c r="W46" s="201">
        <f t="shared" si="76"/>
        <v>0</v>
      </c>
      <c r="X46" s="208">
        <f t="shared" si="77"/>
        <v>3493</v>
      </c>
      <c r="Y46" s="171" t="str">
        <f t="shared" si="78"/>
        <v>SUCCESS</v>
      </c>
      <c r="Z46" s="171" t="str">
        <f t="shared" si="79"/>
        <v>SUCCESS</v>
      </c>
      <c r="AA46" s="185">
        <f t="shared" si="48"/>
        <v>163.09342954804401</v>
      </c>
    </row>
    <row r="47" spans="1:27">
      <c r="A47" s="11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504</v>
      </c>
      <c r="B47" s="113">
        <f t="shared" si="67"/>
        <v>17681</v>
      </c>
      <c r="C47" s="118">
        <f t="shared" si="68"/>
        <v>107.75000000000004</v>
      </c>
      <c r="D47" s="181" t="s">
        <v>6</v>
      </c>
      <c r="E47" s="182">
        <f>IF(H46="AFIII",VLOOKUP($D47,Sheet1!$A$34:$K$48,5,FALSE),IF(H46="UBIII",VLOOKUP($D47,Sheet1!$A$34:$K$48,8,FALSE),VLOOKUP($D47,Sheet1!$A$34:$K$48,2,FALSE)))</f>
        <v>2.86</v>
      </c>
      <c r="F47" s="182">
        <f>ROUNDDOWN((IF(H46="AFIII",VLOOKUP($D47,Sheet1!$A$34:$K$48,5,FALSE),IF(H46="UBIII",VLOOKUP($D47,Sheet1!$A$34:$K$48,8,FALSE),VLOOKUP($D47,Sheet1!$A$34:$K$48,2,FALSE))))*0.85,2)</f>
        <v>2.4300000000000002</v>
      </c>
      <c r="G47" s="182">
        <f t="shared" si="69"/>
        <v>2.4300000000000002</v>
      </c>
      <c r="H47" s="183" t="s">
        <v>84</v>
      </c>
      <c r="I47" s="182">
        <f>I46-G47</f>
        <v>5.1400000000000006</v>
      </c>
      <c r="K47" s="182">
        <f t="shared" si="80"/>
        <v>11.219999999999999</v>
      </c>
      <c r="L47" s="182">
        <f t="shared" si="71"/>
        <v>25.54</v>
      </c>
      <c r="O47" s="182">
        <f t="shared" si="72"/>
        <v>79.539999999999878</v>
      </c>
      <c r="R47" s="182">
        <f t="shared" si="73"/>
        <v>31.259999999999998</v>
      </c>
      <c r="S47" s="183" t="s">
        <v>87</v>
      </c>
      <c r="T47" s="182">
        <f t="shared" si="81"/>
        <v>11.759999999999998</v>
      </c>
      <c r="U47" s="184">
        <f t="shared" si="75"/>
        <v>71.759999999999962</v>
      </c>
      <c r="V47" s="201">
        <f>IF(H46="AFIII",VLOOKUP(D47,Sheet1!$A$4:$H$18,5,FALSE),IF(H46="UBIII",VLOOKUP(D47,Sheet1!$A$4:$H$18,8,FALSE),IF(H46="",VLOOKUP(D47,Sheet1!$A$4:$H$18,2,FALSE),"0")))</f>
        <v>1768</v>
      </c>
      <c r="W47" s="201">
        <f t="shared" si="76"/>
        <v>0</v>
      </c>
      <c r="X47" s="208">
        <f t="shared" si="77"/>
        <v>1725</v>
      </c>
      <c r="Y47" s="171" t="str">
        <f t="shared" si="78"/>
        <v>SUCCESS</v>
      </c>
      <c r="Z47" s="171" t="str">
        <f t="shared" si="79"/>
        <v>SUCCESS</v>
      </c>
      <c r="AA47" s="185">
        <f t="shared" si="48"/>
        <v>164.0928074245939</v>
      </c>
    </row>
    <row r="48" spans="1:27">
      <c r="A48" s="11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168</v>
      </c>
      <c r="B48" s="113">
        <f t="shared" si="67"/>
        <v>17849</v>
      </c>
      <c r="C48" s="118">
        <f t="shared" si="68"/>
        <v>109.78000000000004</v>
      </c>
      <c r="D48" s="181" t="s">
        <v>12</v>
      </c>
      <c r="E48" s="182">
        <f>IF(H47="AFIII",VLOOKUP($D48,Sheet1!$A$34:$K$48,5,FALSE),IF(H47="UBIII",VLOOKUP($D48,Sheet1!$A$34:$K$48,8,FALSE),VLOOKUP($D48,Sheet1!$A$34:$K$48,2,FALSE)))</f>
        <v>1.67</v>
      </c>
      <c r="F48" s="182">
        <f>ROUNDDOWN((IF(H47="AFIII",VLOOKUP($D48,Sheet1!$A$34:$K$48,5,FALSE),IF(H47="UBIII",VLOOKUP($D48,Sheet1!$A$34:$K$48,8,FALSE),VLOOKUP($D48,Sheet1!$A$34:$K$48,2,FALSE))))*0.85,2)</f>
        <v>1.41</v>
      </c>
      <c r="G48" s="182">
        <f t="shared" si="69"/>
        <v>2.0299999999999998</v>
      </c>
      <c r="H48" s="183" t="s">
        <v>122</v>
      </c>
      <c r="I48" s="182">
        <v>10</v>
      </c>
      <c r="K48" s="182">
        <f t="shared" si="80"/>
        <v>9.19</v>
      </c>
      <c r="L48" s="182">
        <f t="shared" si="71"/>
        <v>23.509999999999998</v>
      </c>
      <c r="O48" s="182">
        <f t="shared" si="72"/>
        <v>77.509999999999877</v>
      </c>
      <c r="R48" s="182">
        <f t="shared" si="73"/>
        <v>29.229999999999997</v>
      </c>
      <c r="S48" s="183" t="s">
        <v>87</v>
      </c>
      <c r="T48" s="182">
        <f t="shared" si="81"/>
        <v>9.7299999999999986</v>
      </c>
      <c r="U48" s="184">
        <f t="shared" si="75"/>
        <v>69.729999999999961</v>
      </c>
      <c r="V48" s="201">
        <f>IF(H47="AFIII",VLOOKUP(D48,Sheet1!$A$4:$H$18,5,FALSE),IF(H47="UBIII",VLOOKUP(D48,Sheet1!$A$4:$H$18,8,FALSE),IF(H47="",VLOOKUP(D48,Sheet1!$A$4:$H$18,2,FALSE),"0")))</f>
        <v>265</v>
      </c>
      <c r="W48" s="201">
        <f t="shared" si="76"/>
        <v>0</v>
      </c>
      <c r="X48" s="208">
        <f t="shared" si="77"/>
        <v>1460</v>
      </c>
      <c r="Y48" s="171" t="str">
        <f t="shared" si="78"/>
        <v>SUCCESS</v>
      </c>
      <c r="Z48" s="171" t="str">
        <f t="shared" si="79"/>
        <v>SUCCESS</v>
      </c>
      <c r="AA48" s="185">
        <f t="shared" si="48"/>
        <v>162.58881399161953</v>
      </c>
    </row>
    <row r="49" spans="1:27">
      <c r="A49" s="119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280</v>
      </c>
      <c r="B49" s="120">
        <f t="shared" si="67"/>
        <v>18129</v>
      </c>
      <c r="C49" s="121">
        <f t="shared" si="68"/>
        <v>112.21000000000005</v>
      </c>
      <c r="D49" s="191" t="s">
        <v>14</v>
      </c>
      <c r="E49" s="192">
        <f>IF(H48="AFIII",VLOOKUP($D49,Sheet1!$A$34:$K$48,5,FALSE),IF(H48="UBIII",VLOOKUP($D49,Sheet1!$A$34:$K$48,8,FALSE),VLOOKUP($D49,Sheet1!$A$34:$K$48,2,FALSE)))</f>
        <v>2.86</v>
      </c>
      <c r="F49" s="192">
        <f>ROUNDDOWN((IF(H48="AFIII",VLOOKUP($D49,Sheet1!$A$34:$K$48,5,FALSE),IF(H48="UBIII",VLOOKUP($D49,Sheet1!$A$34:$K$48,8,FALSE),VLOOKUP($D49,Sheet1!$A$34:$K$48,2,FALSE))))*0.85,2)</f>
        <v>2.4300000000000002</v>
      </c>
      <c r="G49" s="192">
        <f t="shared" si="69"/>
        <v>2.4300000000000002</v>
      </c>
      <c r="H49" s="193" t="s">
        <v>122</v>
      </c>
      <c r="I49" s="192">
        <f>I48-G49</f>
        <v>7.57</v>
      </c>
      <c r="J49" s="193"/>
      <c r="K49" s="192">
        <v>20</v>
      </c>
      <c r="L49" s="192">
        <f t="shared" si="71"/>
        <v>21.08</v>
      </c>
      <c r="M49" s="193"/>
      <c r="N49" s="192"/>
      <c r="O49" s="192">
        <f t="shared" si="72"/>
        <v>75.07999999999987</v>
      </c>
      <c r="P49" s="193"/>
      <c r="Q49" s="192"/>
      <c r="R49" s="192">
        <f t="shared" si="73"/>
        <v>26.799999999999997</v>
      </c>
      <c r="S49" s="193" t="s">
        <v>87</v>
      </c>
      <c r="T49" s="192">
        <f t="shared" si="81"/>
        <v>7.2999999999999989</v>
      </c>
      <c r="U49" s="194">
        <f t="shared" si="75"/>
        <v>67.299999999999955</v>
      </c>
      <c r="V49" s="211">
        <f>IF(H48="AFIII",VLOOKUP(D49,Sheet1!$A$4:$H$18,5,FALSE),IF(H48="UBIII",VLOOKUP(D49,Sheet1!$A$4:$H$18,8,FALSE),IF(H48="",VLOOKUP(D49,Sheet1!$A$4:$H$18,2,FALSE),"0")))</f>
        <v>884</v>
      </c>
      <c r="W49" s="211">
        <f t="shared" si="76"/>
        <v>7033</v>
      </c>
      <c r="X49" s="212">
        <f t="shared" si="77"/>
        <v>7609</v>
      </c>
      <c r="Y49" s="195" t="str">
        <f t="shared" si="78"/>
        <v>SUCCESS</v>
      </c>
      <c r="Z49" s="195" t="str">
        <f t="shared" si="79"/>
        <v>SUCCESS</v>
      </c>
      <c r="AA49" s="185">
        <f t="shared" si="48"/>
        <v>161.56314054005875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168</v>
      </c>
      <c r="B50" s="113">
        <f t="shared" si="67"/>
        <v>18297</v>
      </c>
      <c r="C50" s="118">
        <f t="shared" si="68"/>
        <v>114.24000000000005</v>
      </c>
      <c r="D50" s="181" t="s">
        <v>3</v>
      </c>
      <c r="E50" s="182">
        <f>IF(H49="AFIII",VLOOKUP($D50,Sheet1!$A$34:$K$48,5,FALSE),IF(H49="UBIII",VLOOKUP($D50,Sheet1!$A$34:$K$48,8,FALSE),VLOOKUP($D50,Sheet1!$A$34:$K$48,2,FALSE)))</f>
        <v>1.67</v>
      </c>
      <c r="F50" s="182">
        <f>ROUNDDOWN((IF(H49="AFIII",VLOOKUP($D50,Sheet1!$A$34:$K$48,5,FALSE),IF(H49="UBIII",VLOOKUP($D50,Sheet1!$A$34:$K$48,8,FALSE),VLOOKUP($D50,Sheet1!$A$34:$K$48,2,FALSE))))*0.85,2)</f>
        <v>1.41</v>
      </c>
      <c r="G50" s="182">
        <f t="shared" si="69"/>
        <v>2.0299999999999998</v>
      </c>
      <c r="H50" s="183" t="s">
        <v>84</v>
      </c>
      <c r="I50" s="182">
        <v>10</v>
      </c>
      <c r="K50" s="182">
        <f>K49-G50</f>
        <v>17.97</v>
      </c>
      <c r="L50" s="182">
        <f t="shared" si="71"/>
        <v>19.049999999999997</v>
      </c>
      <c r="O50" s="182">
        <f t="shared" si="72"/>
        <v>73.049999999999869</v>
      </c>
      <c r="R50" s="182">
        <f t="shared" si="73"/>
        <v>24.769999999999996</v>
      </c>
      <c r="S50" s="183" t="s">
        <v>87</v>
      </c>
      <c r="T50" s="182">
        <f t="shared" si="81"/>
        <v>5.27</v>
      </c>
      <c r="U50" s="184">
        <f t="shared" si="75"/>
        <v>65.269999999999953</v>
      </c>
      <c r="V50" s="201">
        <f>IF(H49="AFIII",VLOOKUP(D50,Sheet1!$A$4:$H$18,5,FALSE),IF(H49="UBIII",VLOOKUP(D50,Sheet1!$A$4:$H$18,8,FALSE),IF(H49="",VLOOKUP(D50,Sheet1!$A$4:$H$18,2,FALSE),"0")))</f>
        <v>442</v>
      </c>
      <c r="W50" s="201">
        <f t="shared" si="76"/>
        <v>7033</v>
      </c>
      <c r="X50" s="208">
        <f t="shared" si="77"/>
        <v>10917</v>
      </c>
      <c r="Y50" s="171" t="str">
        <f t="shared" si="78"/>
        <v>SUCCESS</v>
      </c>
      <c r="Z50" s="171" t="str">
        <f t="shared" si="79"/>
        <v>SUCCESS</v>
      </c>
      <c r="AA50" s="185">
        <f t="shared" si="48"/>
        <v>160.16281512605036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504</v>
      </c>
      <c r="B51" s="113">
        <f t="shared" si="67"/>
        <v>18801</v>
      </c>
      <c r="C51" s="118">
        <f t="shared" si="68"/>
        <v>116.67000000000006</v>
      </c>
      <c r="D51" s="181" t="s">
        <v>5</v>
      </c>
      <c r="E51" s="182">
        <f>IF(H50="AFIII",VLOOKUP($D51,Sheet1!$A$34:$K$48,5,FALSE),IF(H50="UBIII",VLOOKUP($D51,Sheet1!$A$34:$K$48,8,FALSE),VLOOKUP($D51,Sheet1!$A$34:$K$48,2,FALSE)))</f>
        <v>2.86</v>
      </c>
      <c r="F51" s="182">
        <f>ROUNDDOWN((IF(H50="AFIII",VLOOKUP($D51,Sheet1!$A$34:$K$48,5,FALSE),IF(H50="UBIII",VLOOKUP($D51,Sheet1!$A$34:$K$48,8,FALSE),VLOOKUP($D51,Sheet1!$A$34:$K$48,2,FALSE))))*0.85,2)</f>
        <v>2.4300000000000002</v>
      </c>
      <c r="G51" s="182">
        <f t="shared" si="69"/>
        <v>2.4300000000000002</v>
      </c>
      <c r="H51" s="183" t="s">
        <v>84</v>
      </c>
      <c r="I51" s="182">
        <f>I50-G51</f>
        <v>7.57</v>
      </c>
      <c r="K51" s="182">
        <f t="shared" ref="K51:K57" si="82">K50-G51</f>
        <v>15.54</v>
      </c>
      <c r="L51" s="182">
        <f t="shared" si="71"/>
        <v>16.619999999999997</v>
      </c>
      <c r="O51" s="182">
        <f t="shared" si="72"/>
        <v>70.619999999999862</v>
      </c>
      <c r="R51" s="182">
        <f t="shared" si="73"/>
        <v>22.339999999999996</v>
      </c>
      <c r="S51" s="183" t="s">
        <v>87</v>
      </c>
      <c r="T51" s="182">
        <f t="shared" si="81"/>
        <v>2.8399999999999994</v>
      </c>
      <c r="U51" s="184">
        <f t="shared" si="75"/>
        <v>62.839999999999954</v>
      </c>
      <c r="V51" s="201">
        <f>IF(H50="AFIII",VLOOKUP(D51,Sheet1!$A$4:$H$18,5,FALSE),IF(H50="UBIII",VLOOKUP(D51,Sheet1!$A$4:$H$18,8,FALSE),IF(H50="",VLOOKUP(D51,Sheet1!$A$4:$H$18,2,FALSE),"0")))</f>
        <v>1768</v>
      </c>
      <c r="W51" s="201">
        <f t="shared" si="76"/>
        <v>0</v>
      </c>
      <c r="X51" s="208">
        <f t="shared" si="77"/>
        <v>9149</v>
      </c>
      <c r="Y51" s="171" t="str">
        <f t="shared" si="78"/>
        <v>SUCCESS</v>
      </c>
      <c r="Z51" s="171" t="str">
        <f t="shared" si="79"/>
        <v>SUCCESS</v>
      </c>
      <c r="AA51" s="185">
        <f t="shared" si="48"/>
        <v>161.14682437644632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504</v>
      </c>
      <c r="B52" s="113">
        <f t="shared" si="67"/>
        <v>19305</v>
      </c>
      <c r="C52" s="118">
        <f t="shared" si="68"/>
        <v>119.10000000000007</v>
      </c>
      <c r="D52" s="181" t="s">
        <v>5</v>
      </c>
      <c r="E52" s="182">
        <f>IF(H51="AFIII",VLOOKUP($D52,Sheet1!$A$34:$K$48,5,FALSE),IF(H51="UBIII",VLOOKUP($D52,Sheet1!$A$34:$K$48,8,FALSE),VLOOKUP($D52,Sheet1!$A$34:$K$48,2,FALSE)))</f>
        <v>2.86</v>
      </c>
      <c r="F52" s="182">
        <f>ROUNDDOWN((IF(H51="AFIII",VLOOKUP($D52,Sheet1!$A$34:$K$48,5,FALSE),IF(H51="UBIII",VLOOKUP($D52,Sheet1!$A$34:$K$48,8,FALSE),VLOOKUP($D52,Sheet1!$A$34:$K$48,2,FALSE))))*0.85,2)</f>
        <v>2.4300000000000002</v>
      </c>
      <c r="G52" s="182">
        <f t="shared" si="69"/>
        <v>2.4300000000000002</v>
      </c>
      <c r="H52" s="183" t="s">
        <v>84</v>
      </c>
      <c r="I52" s="182">
        <f t="shared" ref="I52" si="83">I51-G52</f>
        <v>5.1400000000000006</v>
      </c>
      <c r="K52" s="182">
        <f t="shared" si="82"/>
        <v>13.11</v>
      </c>
      <c r="L52" s="182">
        <f t="shared" si="71"/>
        <v>14.189999999999998</v>
      </c>
      <c r="O52" s="182">
        <f t="shared" si="72"/>
        <v>68.189999999999856</v>
      </c>
      <c r="R52" s="182">
        <f t="shared" si="73"/>
        <v>19.909999999999997</v>
      </c>
      <c r="T52" s="182">
        <f t="shared" si="81"/>
        <v>0.40999999999999925</v>
      </c>
      <c r="U52" s="184">
        <f t="shared" si="75"/>
        <v>60.409999999999954</v>
      </c>
      <c r="V52" s="201">
        <f>IF(H51="AFIII",VLOOKUP(D52,Sheet1!$A$4:$H$18,5,FALSE),IF(H51="UBIII",VLOOKUP(D52,Sheet1!$A$4:$H$18,8,FALSE),IF(H51="",VLOOKUP(D52,Sheet1!$A$4:$H$18,2,FALSE),"0")))</f>
        <v>1768</v>
      </c>
      <c r="W52" s="201">
        <f t="shared" si="76"/>
        <v>0</v>
      </c>
      <c r="X52" s="208">
        <f t="shared" si="77"/>
        <v>7381</v>
      </c>
      <c r="Y52" s="171" t="str">
        <f t="shared" si="78"/>
        <v>SUCCESS</v>
      </c>
      <c r="Z52" s="171" t="str">
        <f t="shared" si="79"/>
        <v>SUCCESS</v>
      </c>
      <c r="AA52" s="185">
        <f t="shared" si="48"/>
        <v>162.09068010075558</v>
      </c>
    </row>
    <row r="53" spans="1:27">
      <c r="A53" s="112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324</v>
      </c>
      <c r="B53" s="113">
        <f t="shared" si="67"/>
        <v>19629</v>
      </c>
      <c r="C53" s="118">
        <f t="shared" si="68"/>
        <v>121.49000000000007</v>
      </c>
      <c r="D53" s="181" t="s">
        <v>1</v>
      </c>
      <c r="E53" s="182">
        <f>IF(H52="AFIII",VLOOKUP($D53,Sheet1!$A$34:$K$48,5,FALSE),IF(H52="UBIII",VLOOKUP($D53,Sheet1!$A$34:$K$48,8,FALSE),VLOOKUP($D53,Sheet1!$A$34:$K$48,2,FALSE)))</f>
        <v>2.39</v>
      </c>
      <c r="F53" s="182">
        <f>ROUNDDOWN((IF(H52="AFIII",VLOOKUP($D53,Sheet1!$A$34:$K$48,5,FALSE),IF(H52="UBIII",VLOOKUP($D53,Sheet1!$A$34:$K$48,8,FALSE),VLOOKUP($D53,Sheet1!$A$34:$K$48,2,FALSE))))*0.85,2)</f>
        <v>2.0299999999999998</v>
      </c>
      <c r="G53" s="182">
        <f t="shared" si="69"/>
        <v>2.39</v>
      </c>
      <c r="H53" s="183" t="s">
        <v>84</v>
      </c>
      <c r="I53" s="182">
        <v>10</v>
      </c>
      <c r="K53" s="182">
        <f t="shared" si="82"/>
        <v>10.719999999999999</v>
      </c>
      <c r="L53" s="182">
        <f t="shared" si="71"/>
        <v>11.799999999999997</v>
      </c>
      <c r="O53" s="182">
        <f t="shared" si="72"/>
        <v>65.799999999999855</v>
      </c>
      <c r="R53" s="182">
        <f>R52-G53</f>
        <v>17.519999999999996</v>
      </c>
      <c r="U53" s="184">
        <f t="shared" si="75"/>
        <v>58.019999999999953</v>
      </c>
      <c r="V53" s="201">
        <f>IF(H52="AFIII",VLOOKUP(D53,Sheet1!$A$4:$H$18,5,FALSE),IF(H52="UBIII",VLOOKUP(D53,Sheet1!$A$4:$H$18,8,FALSE),IF(H52="",VLOOKUP(D53,Sheet1!$A$4:$H$18,2,FALSE),"0")))</f>
        <v>2120</v>
      </c>
      <c r="W53" s="201">
        <f t="shared" si="76"/>
        <v>0</v>
      </c>
      <c r="X53" s="208">
        <f t="shared" si="77"/>
        <v>5261</v>
      </c>
      <c r="Y53" s="171" t="str">
        <f t="shared" si="78"/>
        <v>SUCCESS</v>
      </c>
      <c r="Z53" s="171" t="str">
        <f t="shared" si="79"/>
        <v>SUCCESS</v>
      </c>
      <c r="AA53" s="185">
        <f t="shared" si="48"/>
        <v>161.56885340357223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504</v>
      </c>
      <c r="B54" s="113">
        <f t="shared" si="67"/>
        <v>20133</v>
      </c>
      <c r="C54" s="118">
        <f t="shared" si="68"/>
        <v>124.35000000000007</v>
      </c>
      <c r="D54" s="181" t="s">
        <v>6</v>
      </c>
      <c r="E54" s="182">
        <f>IF(H53="AFIII",VLOOKUP($D54,Sheet1!$A$34:$K$48,5,FALSE),IF(H53="UBIII",VLOOKUP($D54,Sheet1!$A$34:$K$48,8,FALSE),VLOOKUP($D54,Sheet1!$A$34:$K$48,2,FALSE)))</f>
        <v>2.86</v>
      </c>
      <c r="F54" s="182">
        <f>ROUNDDOWN((IF(H53="AFIII",VLOOKUP($D54,Sheet1!$A$34:$K$48,5,FALSE),IF(H53="UBIII",VLOOKUP($D54,Sheet1!$A$34:$K$48,8,FALSE),VLOOKUP($D54,Sheet1!$A$34:$K$48,2,FALSE))))*0.85,2)</f>
        <v>2.4300000000000002</v>
      </c>
      <c r="G54" s="182">
        <f t="shared" si="69"/>
        <v>2.86</v>
      </c>
      <c r="H54" s="183" t="s">
        <v>84</v>
      </c>
      <c r="I54" s="182">
        <f>I53-G54</f>
        <v>7.1400000000000006</v>
      </c>
      <c r="K54" s="182">
        <f t="shared" si="82"/>
        <v>7.8599999999999994</v>
      </c>
      <c r="L54" s="182">
        <f t="shared" si="71"/>
        <v>8.9399999999999977</v>
      </c>
      <c r="O54" s="182">
        <f t="shared" si="72"/>
        <v>62.939999999999856</v>
      </c>
      <c r="R54" s="182">
        <f t="shared" ref="R54:R59" si="84">R53-G54</f>
        <v>14.659999999999997</v>
      </c>
      <c r="U54" s="184">
        <f t="shared" si="75"/>
        <v>55.159999999999954</v>
      </c>
      <c r="V54" s="201">
        <f>IF(H53="AFIII",VLOOKUP(D54,Sheet1!$A$4:$H$18,5,FALSE),IF(H53="UBIII",VLOOKUP(D54,Sheet1!$A$4:$H$18,8,FALSE),IF(H53="",VLOOKUP(D54,Sheet1!$A$4:$H$18,2,FALSE),"0")))</f>
        <v>1768</v>
      </c>
      <c r="W54" s="201">
        <f t="shared" si="76"/>
        <v>0</v>
      </c>
      <c r="X54" s="208">
        <f t="shared" si="77"/>
        <v>3493</v>
      </c>
      <c r="Y54" s="171" t="str">
        <f t="shared" si="78"/>
        <v>SUCCESS</v>
      </c>
      <c r="Z54" s="171" t="str">
        <f t="shared" si="79"/>
        <v>SUCCESS</v>
      </c>
      <c r="AA54" s="185">
        <f t="shared" si="48"/>
        <v>161.90591073582621</v>
      </c>
    </row>
    <row r="55" spans="1:27">
      <c r="A55" s="112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504</v>
      </c>
      <c r="B55" s="113">
        <f t="shared" si="67"/>
        <v>20637</v>
      </c>
      <c r="C55" s="118">
        <f t="shared" si="68"/>
        <v>127.21000000000006</v>
      </c>
      <c r="D55" s="181" t="s">
        <v>6</v>
      </c>
      <c r="E55" s="182">
        <f>IF(H54="AFIII",VLOOKUP($D55,Sheet1!$A$34:$K$48,5,FALSE),IF(H54="UBIII",VLOOKUP($D55,Sheet1!$A$34:$K$48,8,FALSE),VLOOKUP($D55,Sheet1!$A$34:$K$48,2,FALSE)))</f>
        <v>2.86</v>
      </c>
      <c r="F55" s="182">
        <f>ROUNDDOWN((IF(H54="AFIII",VLOOKUP($D55,Sheet1!$A$34:$K$48,5,FALSE),IF(H54="UBIII",VLOOKUP($D55,Sheet1!$A$34:$K$48,8,FALSE),VLOOKUP($D55,Sheet1!$A$34:$K$48,2,FALSE))))*0.85,2)</f>
        <v>2.4300000000000002</v>
      </c>
      <c r="G55" s="182">
        <f t="shared" si="69"/>
        <v>2.86</v>
      </c>
      <c r="H55" s="183" t="s">
        <v>84</v>
      </c>
      <c r="I55" s="182">
        <f>I54-G55</f>
        <v>4.2800000000000011</v>
      </c>
      <c r="K55" s="182">
        <f t="shared" si="82"/>
        <v>5</v>
      </c>
      <c r="L55" s="182">
        <f t="shared" si="71"/>
        <v>6.0799999999999983</v>
      </c>
      <c r="O55" s="182">
        <f t="shared" si="72"/>
        <v>60.079999999999856</v>
      </c>
      <c r="R55" s="182">
        <f t="shared" si="84"/>
        <v>11.799999999999997</v>
      </c>
      <c r="U55" s="184">
        <f t="shared" si="75"/>
        <v>52.299999999999955</v>
      </c>
      <c r="V55" s="201">
        <f>IF(H54="AFIII",VLOOKUP(D55,Sheet1!$A$4:$H$18,5,FALSE),IF(H54="UBIII",VLOOKUP(D55,Sheet1!$A$4:$H$18,8,FALSE),IF(H54="",VLOOKUP(D55,Sheet1!$A$4:$H$18,2,FALSE),"0")))</f>
        <v>1768</v>
      </c>
      <c r="W55" s="201">
        <f t="shared" si="76"/>
        <v>0</v>
      </c>
      <c r="X55" s="208">
        <f t="shared" si="77"/>
        <v>1725</v>
      </c>
      <c r="Y55" s="171" t="str">
        <f t="shared" si="78"/>
        <v>SUCCESS</v>
      </c>
      <c r="Z55" s="171" t="str">
        <f t="shared" si="79"/>
        <v>SUCCESS</v>
      </c>
      <c r="AA55" s="185">
        <f t="shared" si="48"/>
        <v>162.2278122789088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168</v>
      </c>
      <c r="B56" s="113">
        <f t="shared" si="67"/>
        <v>20805</v>
      </c>
      <c r="C56" s="118">
        <f t="shared" si="68"/>
        <v>129.60000000000005</v>
      </c>
      <c r="D56" s="181" t="s">
        <v>12</v>
      </c>
      <c r="E56" s="182">
        <f>IF(H55="AFIII",VLOOKUP($D56,Sheet1!$A$34:$K$48,5,FALSE),IF(H55="UBIII",VLOOKUP($D56,Sheet1!$A$34:$K$48,8,FALSE),VLOOKUP($D56,Sheet1!$A$34:$K$48,2,FALSE)))</f>
        <v>1.67</v>
      </c>
      <c r="F56" s="182">
        <f>ROUNDDOWN((IF(H55="AFIII",VLOOKUP($D56,Sheet1!$A$34:$K$48,5,FALSE),IF(H55="UBIII",VLOOKUP($D56,Sheet1!$A$34:$K$48,8,FALSE),VLOOKUP($D56,Sheet1!$A$34:$K$48,2,FALSE))))*0.85,2)</f>
        <v>1.41</v>
      </c>
      <c r="G56" s="182">
        <f t="shared" si="69"/>
        <v>2.39</v>
      </c>
      <c r="H56" s="183" t="s">
        <v>122</v>
      </c>
      <c r="I56" s="182">
        <v>10</v>
      </c>
      <c r="K56" s="182">
        <f t="shared" si="82"/>
        <v>2.61</v>
      </c>
      <c r="L56" s="182">
        <f t="shared" si="71"/>
        <v>3.6899999999999982</v>
      </c>
      <c r="O56" s="182">
        <f t="shared" si="72"/>
        <v>57.689999999999856</v>
      </c>
      <c r="R56" s="182">
        <f t="shared" si="84"/>
        <v>9.4099999999999966</v>
      </c>
      <c r="U56" s="184">
        <f t="shared" si="75"/>
        <v>49.909999999999954</v>
      </c>
      <c r="V56" s="201">
        <f>IF(H55="AFIII",VLOOKUP(D56,Sheet1!$A$4:$H$18,5,FALSE),IF(H55="UBIII",VLOOKUP(D56,Sheet1!$A$4:$H$18,8,FALSE),IF(H55="",VLOOKUP(D56,Sheet1!$A$4:$H$18,2,FALSE),"0")))</f>
        <v>265</v>
      </c>
      <c r="W56" s="201">
        <f t="shared" si="76"/>
        <v>0</v>
      </c>
      <c r="X56" s="208">
        <f t="shared" si="77"/>
        <v>1460</v>
      </c>
      <c r="Y56" s="171" t="str">
        <f t="shared" si="78"/>
        <v>SUCCESS</v>
      </c>
      <c r="Z56" s="171" t="str">
        <f t="shared" si="79"/>
        <v>SUCCESS</v>
      </c>
      <c r="AA56" s="185">
        <f t="shared" si="48"/>
        <v>160.53240740740733</v>
      </c>
    </row>
    <row r="57" spans="1:27">
      <c r="A57" s="122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295</v>
      </c>
      <c r="B57" s="123">
        <f t="shared" si="67"/>
        <v>21100</v>
      </c>
      <c r="C57" s="124">
        <f t="shared" si="68"/>
        <v>132.46000000000006</v>
      </c>
      <c r="D57" s="186" t="s">
        <v>19</v>
      </c>
      <c r="E57" s="187">
        <f>IF(H56="AFIII",VLOOKUP($D57,Sheet1!$A$34:$K$48,5,FALSE),IF(H56="UBIII",VLOOKUP($D57,Sheet1!$A$34:$K$48,8,FALSE),VLOOKUP($D57,Sheet1!$A$34:$K$48,2,FALSE)))</f>
        <v>2.86</v>
      </c>
      <c r="F57" s="187">
        <f>ROUNDDOWN((IF(H56="AFIII",VLOOKUP($D57,Sheet1!$A$34:$K$48,5,FALSE),IF(H56="UBIII",VLOOKUP($D57,Sheet1!$A$34:$K$48,8,FALSE),VLOOKUP($D57,Sheet1!$A$34:$K$48,2,FALSE))))*0.85,2)</f>
        <v>2.4300000000000002</v>
      </c>
      <c r="G57" s="187">
        <f t="shared" si="69"/>
        <v>2.86</v>
      </c>
      <c r="H57" s="188" t="s">
        <v>122</v>
      </c>
      <c r="I57" s="187">
        <f>I56-G57</f>
        <v>7.1400000000000006</v>
      </c>
      <c r="J57" s="188"/>
      <c r="K57" s="187">
        <f t="shared" si="82"/>
        <v>-0.25</v>
      </c>
      <c r="L57" s="187">
        <f t="shared" si="71"/>
        <v>0.82999999999999829</v>
      </c>
      <c r="M57" s="188"/>
      <c r="N57" s="187"/>
      <c r="O57" s="187">
        <f t="shared" si="72"/>
        <v>54.829999999999856</v>
      </c>
      <c r="P57" s="188" t="s">
        <v>17</v>
      </c>
      <c r="Q57" s="187">
        <v>21</v>
      </c>
      <c r="R57" s="187">
        <f t="shared" si="84"/>
        <v>6.5499999999999972</v>
      </c>
      <c r="S57" s="188"/>
      <c r="T57" s="187"/>
      <c r="U57" s="189">
        <f t="shared" si="75"/>
        <v>47.049999999999955</v>
      </c>
      <c r="V57" s="209">
        <f>IF(H56="AFIII",VLOOKUP(D57,Sheet1!$A$4:$H$18,5,FALSE),IF(H56="UBIII",VLOOKUP(D57,Sheet1!$A$4:$H$18,8,FALSE),IF(H56="",VLOOKUP(D57,Sheet1!$A$4:$H$18,2,FALSE),"0")))</f>
        <v>1060</v>
      </c>
      <c r="W57" s="209">
        <f t="shared" si="76"/>
        <v>7033</v>
      </c>
      <c r="X57" s="210">
        <f t="shared" si="77"/>
        <v>7433</v>
      </c>
      <c r="Y57" s="190" t="str">
        <f t="shared" si="78"/>
        <v>SUCCESS</v>
      </c>
      <c r="Z57" s="190" t="str">
        <f t="shared" si="79"/>
        <v>ERROR</v>
      </c>
      <c r="AA57" s="185">
        <f t="shared" si="48"/>
        <v>159.29337158387429</v>
      </c>
    </row>
    <row r="58" spans="1:27">
      <c r="A58" s="112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168</v>
      </c>
      <c r="B58" s="113">
        <f t="shared" si="67"/>
        <v>21268</v>
      </c>
      <c r="C58" s="118">
        <f t="shared" si="68"/>
        <v>134.85000000000005</v>
      </c>
      <c r="D58" s="181" t="s">
        <v>4</v>
      </c>
      <c r="E58" s="182">
        <f>IF(H57="AFIII",VLOOKUP($D58,Sheet1!$A$34:$K$48,5,FALSE),IF(H57="UBIII",VLOOKUP($D58,Sheet1!$A$34:$K$48,8,FALSE),VLOOKUP($D58,Sheet1!$A$34:$K$48,2,FALSE)))</f>
        <v>1.67</v>
      </c>
      <c r="F58" s="182">
        <f>ROUNDDOWN((IF(H57="AFIII",VLOOKUP($D58,Sheet1!$A$34:$K$48,5,FALSE),IF(H57="UBIII",VLOOKUP($D58,Sheet1!$A$34:$K$48,8,FALSE),VLOOKUP($D58,Sheet1!$A$34:$K$48,2,FALSE))))*0.85,2)</f>
        <v>1.41</v>
      </c>
      <c r="G58" s="182">
        <f t="shared" si="69"/>
        <v>2.39</v>
      </c>
      <c r="H58" s="183" t="s">
        <v>84</v>
      </c>
      <c r="I58" s="182">
        <v>10</v>
      </c>
      <c r="J58" s="183" t="s">
        <v>105</v>
      </c>
      <c r="K58" s="182">
        <v>30</v>
      </c>
      <c r="L58" s="182">
        <v>60</v>
      </c>
      <c r="O58" s="182">
        <f t="shared" si="72"/>
        <v>52.439999999999856</v>
      </c>
      <c r="Q58" s="182">
        <f>Q57-G58</f>
        <v>18.61</v>
      </c>
      <c r="R58" s="182">
        <f t="shared" si="84"/>
        <v>4.1599999999999966</v>
      </c>
      <c r="U58" s="184">
        <f t="shared" si="75"/>
        <v>44.659999999999954</v>
      </c>
      <c r="V58" s="201">
        <f>IF(H57="AFIII",VLOOKUP(D58,Sheet1!$A$4:$H$18,5,FALSE),IF(H57="UBIII",VLOOKUP(D58,Sheet1!$A$4:$H$18,8,FALSE),IF(H57="",VLOOKUP(D58,Sheet1!$A$4:$H$18,2,FALSE),"0")))</f>
        <v>442</v>
      </c>
      <c r="W58" s="201">
        <f t="shared" si="76"/>
        <v>7033</v>
      </c>
      <c r="X58" s="208">
        <f t="shared" si="77"/>
        <v>10917</v>
      </c>
      <c r="Y58" s="171" t="str">
        <f t="shared" si="78"/>
        <v>SUCCESS</v>
      </c>
      <c r="Z58" s="171" t="str">
        <f t="shared" si="79"/>
        <v>ERROR</v>
      </c>
      <c r="AA58" s="185">
        <f t="shared" si="48"/>
        <v>157.71598071931771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504</v>
      </c>
      <c r="B59" s="113">
        <f t="shared" si="67"/>
        <v>21772</v>
      </c>
      <c r="C59" s="118">
        <f t="shared" si="68"/>
        <v>137.71000000000006</v>
      </c>
      <c r="D59" s="181" t="s">
        <v>6</v>
      </c>
      <c r="E59" s="182">
        <f>IF(H58="AFIII",VLOOKUP($D59,Sheet1!$A$34:$K$48,5,FALSE),IF(H58="UBIII",VLOOKUP($D59,Sheet1!$A$34:$K$48,8,FALSE),VLOOKUP($D59,Sheet1!$A$34:$K$48,2,FALSE)))</f>
        <v>2.86</v>
      </c>
      <c r="F59" s="182">
        <f>ROUNDDOWN((IF(H58="AFIII",VLOOKUP($D59,Sheet1!$A$34:$K$48,5,FALSE),IF(H58="UBIII",VLOOKUP($D59,Sheet1!$A$34:$K$48,8,FALSE),VLOOKUP($D59,Sheet1!$A$34:$K$48,2,FALSE))))*0.85,2)</f>
        <v>2.4300000000000002</v>
      </c>
      <c r="G59" s="182">
        <f>IF(M58="迅速",IF(S58="黒魔紋",$F$1,$E$1),IF(S58="黒魔紋",IF(F59&lt;$F$1,$F$1,F59),IF(E59&lt;$E$1,$E$1,E59)))</f>
        <v>2.86</v>
      </c>
      <c r="H59" s="183" t="s">
        <v>84</v>
      </c>
      <c r="I59" s="182">
        <f>I58-G59</f>
        <v>7.1400000000000006</v>
      </c>
      <c r="K59" s="182">
        <f>K58-G59</f>
        <v>27.14</v>
      </c>
      <c r="L59" s="182">
        <f>L58-G59</f>
        <v>57.14</v>
      </c>
      <c r="N59" s="182">
        <v>20</v>
      </c>
      <c r="O59" s="182">
        <f t="shared" si="72"/>
        <v>49.579999999999856</v>
      </c>
      <c r="Q59" s="182">
        <f t="shared" ref="Q59:Q65" si="85">Q58-G59</f>
        <v>15.75</v>
      </c>
      <c r="R59" s="182">
        <f t="shared" si="84"/>
        <v>1.2999999999999967</v>
      </c>
      <c r="U59" s="184">
        <f t="shared" si="75"/>
        <v>41.799999999999955</v>
      </c>
      <c r="V59" s="201">
        <f>IF(H58="AFIII",VLOOKUP(D59,Sheet1!$A$4:$H$18,5,FALSE),IF(H58="UBIII",VLOOKUP(D59,Sheet1!$A$4:$H$18,8,FALSE),IF(H58="",VLOOKUP(D59,Sheet1!$A$4:$H$18,2,FALSE),"0")))</f>
        <v>1768</v>
      </c>
      <c r="W59" s="201">
        <f t="shared" si="76"/>
        <v>0</v>
      </c>
      <c r="X59" s="208">
        <f t="shared" si="77"/>
        <v>9149</v>
      </c>
      <c r="Y59" s="171" t="str">
        <f t="shared" si="78"/>
        <v>SUCCESS</v>
      </c>
      <c r="Z59" s="171" t="str">
        <f t="shared" si="79"/>
        <v>SUCCESS</v>
      </c>
      <c r="AA59" s="185">
        <f t="shared" si="48"/>
        <v>158.1003558202018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604</v>
      </c>
      <c r="B60" s="113">
        <f t="shared" si="67"/>
        <v>22376</v>
      </c>
      <c r="C60" s="118">
        <f t="shared" si="68"/>
        <v>140.57000000000008</v>
      </c>
      <c r="D60" s="181" t="s">
        <v>6</v>
      </c>
      <c r="E60" s="182">
        <f>IF(H59="AFIII",VLOOKUP($D60,Sheet1!$A$34:$K$48,5,FALSE),IF(H59="UBIII",VLOOKUP($D60,Sheet1!$A$34:$K$48,8,FALSE),VLOOKUP($D60,Sheet1!$A$34:$K$48,2,FALSE)))</f>
        <v>2.86</v>
      </c>
      <c r="F60" s="182">
        <f>ROUNDDOWN((IF(H59="AFIII",VLOOKUP($D60,Sheet1!$A$34:$K$48,5,FALSE),IF(H59="UBIII",VLOOKUP($D60,Sheet1!$A$34:$K$48,8,FALSE),VLOOKUP($D60,Sheet1!$A$34:$K$48,2,FALSE))))*0.85,2)</f>
        <v>2.4300000000000002</v>
      </c>
      <c r="G60" s="182">
        <f t="shared" ref="G60:G72" si="86">IF(M59="迅速",IF(S59="黒魔紋",$F$1,$E$1),IF(S59="黒魔紋",IF(F60&lt;$F$1,$F$1,F60),IF(E60&lt;$E$1,$E$1,E60)))</f>
        <v>2.86</v>
      </c>
      <c r="H60" s="183" t="s">
        <v>84</v>
      </c>
      <c r="I60" s="182">
        <f t="shared" ref="I60" si="87">I59-G60</f>
        <v>4.2800000000000011</v>
      </c>
      <c r="K60" s="182">
        <f t="shared" ref="K60:K61" si="88">K59-G60</f>
        <v>24.28</v>
      </c>
      <c r="L60" s="182">
        <f t="shared" ref="L60:L61" si="89">L59-G60</f>
        <v>54.28</v>
      </c>
      <c r="N60" s="182">
        <f>N59-G60</f>
        <v>17.14</v>
      </c>
      <c r="O60" s="182">
        <f t="shared" si="72"/>
        <v>46.719999999999857</v>
      </c>
      <c r="P60" s="183" t="s">
        <v>131</v>
      </c>
      <c r="Q60" s="182">
        <f t="shared" si="85"/>
        <v>12.89</v>
      </c>
      <c r="R60" s="182">
        <v>60</v>
      </c>
      <c r="U60" s="184">
        <f t="shared" si="75"/>
        <v>38.939999999999955</v>
      </c>
      <c r="V60" s="201">
        <f>IF(H59="AFIII",VLOOKUP(D60,Sheet1!$A$4:$H$18,5,FALSE),IF(H59="UBIII",VLOOKUP(D60,Sheet1!$A$4:$H$18,8,FALSE),IF(H59="",VLOOKUP(D60,Sheet1!$A$4:$H$18,2,FALSE),"0")))</f>
        <v>1768</v>
      </c>
      <c r="W60" s="201">
        <f t="shared" si="76"/>
        <v>0</v>
      </c>
      <c r="X60" s="208">
        <f t="shared" si="77"/>
        <v>7381</v>
      </c>
      <c r="Y60" s="171" t="str">
        <f t="shared" si="78"/>
        <v>SUCCESS</v>
      </c>
      <c r="Z60" s="171" t="str">
        <f t="shared" si="79"/>
        <v>SUCCESS</v>
      </c>
      <c r="AA60" s="185">
        <f t="shared" si="48"/>
        <v>159.18047947641736</v>
      </c>
    </row>
    <row r="61" spans="1:27">
      <c r="A61" s="11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388</v>
      </c>
      <c r="B61" s="113">
        <f t="shared" si="67"/>
        <v>22764</v>
      </c>
      <c r="C61" s="118">
        <f t="shared" si="68"/>
        <v>142.96000000000006</v>
      </c>
      <c r="D61" s="181" t="s">
        <v>1</v>
      </c>
      <c r="E61" s="182">
        <f>IF(H60="AFIII",VLOOKUP($D61,Sheet1!$A$34:$K$48,5,FALSE),IF(H60="UBIII",VLOOKUP($D61,Sheet1!$A$34:$K$48,8,FALSE),VLOOKUP($D61,Sheet1!$A$34:$K$48,2,FALSE)))</f>
        <v>2.39</v>
      </c>
      <c r="F61" s="182">
        <f>ROUNDDOWN((IF(H60="AFIII",VLOOKUP($D61,Sheet1!$A$34:$K$48,5,FALSE),IF(H60="UBIII",VLOOKUP($D61,Sheet1!$A$34:$K$48,8,FALSE),VLOOKUP($D61,Sheet1!$A$34:$K$48,2,FALSE))))*0.85,2)</f>
        <v>2.0299999999999998</v>
      </c>
      <c r="G61" s="182">
        <f t="shared" si="86"/>
        <v>2.39</v>
      </c>
      <c r="H61" s="183" t="s">
        <v>84</v>
      </c>
      <c r="I61" s="182">
        <v>10</v>
      </c>
      <c r="K61" s="182">
        <f t="shared" si="88"/>
        <v>21.89</v>
      </c>
      <c r="L61" s="182">
        <f t="shared" si="89"/>
        <v>51.89</v>
      </c>
      <c r="N61" s="182">
        <f t="shared" ref="N61" si="90">N60-G61</f>
        <v>14.75</v>
      </c>
      <c r="O61" s="182">
        <f t="shared" si="72"/>
        <v>44.329999999999856</v>
      </c>
      <c r="Q61" s="182">
        <f t="shared" si="85"/>
        <v>10.5</v>
      </c>
      <c r="R61" s="182">
        <f t="shared" ref="R61:R63" si="91">R60-G61</f>
        <v>57.61</v>
      </c>
      <c r="U61" s="184">
        <f t="shared" si="75"/>
        <v>36.549999999999955</v>
      </c>
      <c r="V61" s="201">
        <f>IF(H60="AFIII",VLOOKUP(D61,Sheet1!$A$4:$H$18,5,FALSE),IF(H60="UBIII",VLOOKUP(D61,Sheet1!$A$4:$H$18,8,FALSE),IF(H60="",VLOOKUP(D61,Sheet1!$A$4:$H$18,2,FALSE),"0")))</f>
        <v>2120</v>
      </c>
      <c r="W61" s="201">
        <f t="shared" si="76"/>
        <v>0</v>
      </c>
      <c r="X61" s="208">
        <f t="shared" si="77"/>
        <v>5261</v>
      </c>
      <c r="Y61" s="171" t="str">
        <f t="shared" si="78"/>
        <v>SUCCESS</v>
      </c>
      <c r="Z61" s="171" t="str">
        <f t="shared" si="79"/>
        <v>SUCCESS</v>
      </c>
      <c r="AA61" s="185">
        <f t="shared" si="48"/>
        <v>159.2333519865696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604</v>
      </c>
      <c r="B62" s="113">
        <f t="shared" si="67"/>
        <v>23368</v>
      </c>
      <c r="C62" s="118">
        <f t="shared" si="68"/>
        <v>145.82000000000008</v>
      </c>
      <c r="D62" s="181" t="s">
        <v>6</v>
      </c>
      <c r="E62" s="182">
        <f>IF(H61="AFIII",VLOOKUP($D62,Sheet1!$A$34:$K$48,5,FALSE),IF(H61="UBIII",VLOOKUP($D62,Sheet1!$A$34:$K$48,8,FALSE),VLOOKUP($D62,Sheet1!$A$34:$K$48,2,FALSE)))</f>
        <v>2.86</v>
      </c>
      <c r="F62" s="182">
        <f>ROUNDDOWN((IF(H61="AFIII",VLOOKUP($D62,Sheet1!$A$34:$K$48,5,FALSE),IF(H61="UBIII",VLOOKUP($D62,Sheet1!$A$34:$K$48,8,FALSE),VLOOKUP($D62,Sheet1!$A$34:$K$48,2,FALSE))))*0.85,2)</f>
        <v>2.4300000000000002</v>
      </c>
      <c r="G62" s="182">
        <f t="shared" si="86"/>
        <v>2.86</v>
      </c>
      <c r="H62" s="183" t="s">
        <v>84</v>
      </c>
      <c r="I62" s="182">
        <f>I61-G62</f>
        <v>7.1400000000000006</v>
      </c>
      <c r="K62" s="182">
        <f>K61-G62</f>
        <v>19.03</v>
      </c>
      <c r="L62" s="182">
        <f>L61-G62</f>
        <v>49.03</v>
      </c>
      <c r="N62" s="182">
        <f>N61-G62</f>
        <v>11.89</v>
      </c>
      <c r="O62" s="182">
        <f t="shared" si="72"/>
        <v>41.469999999999857</v>
      </c>
      <c r="Q62" s="182">
        <f t="shared" si="85"/>
        <v>7.6400000000000006</v>
      </c>
      <c r="R62" s="182">
        <f t="shared" si="91"/>
        <v>54.75</v>
      </c>
      <c r="U62" s="184">
        <f t="shared" si="75"/>
        <v>33.689999999999955</v>
      </c>
      <c r="V62" s="201">
        <f>IF(H61="AFIII",VLOOKUP(D62,Sheet1!$A$4:$H$18,5,FALSE),IF(H61="UBIII",VLOOKUP(D62,Sheet1!$A$4:$H$18,8,FALSE),IF(H61="",VLOOKUP(D62,Sheet1!$A$4:$H$18,2,FALSE),"0")))</f>
        <v>1768</v>
      </c>
      <c r="W62" s="201">
        <f t="shared" si="76"/>
        <v>0</v>
      </c>
      <c r="X62" s="208">
        <f t="shared" si="77"/>
        <v>3493</v>
      </c>
      <c r="Y62" s="171" t="str">
        <f t="shared" si="78"/>
        <v>SUCCESS</v>
      </c>
      <c r="Z62" s="171" t="str">
        <f t="shared" si="79"/>
        <v>SUCCESS</v>
      </c>
      <c r="AA62" s="185">
        <f t="shared" si="48"/>
        <v>160.2523659305993</v>
      </c>
    </row>
    <row r="63" spans="1:27">
      <c r="A63" s="112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604</v>
      </c>
      <c r="B63" s="113">
        <f t="shared" si="67"/>
        <v>23972</v>
      </c>
      <c r="C63" s="118">
        <f t="shared" si="68"/>
        <v>148.68000000000009</v>
      </c>
      <c r="D63" s="181" t="s">
        <v>6</v>
      </c>
      <c r="E63" s="182">
        <f>IF(H62="AFIII",VLOOKUP($D63,Sheet1!$A$34:$K$48,5,FALSE),IF(H62="UBIII",VLOOKUP($D63,Sheet1!$A$34:$K$48,8,FALSE),VLOOKUP($D63,Sheet1!$A$34:$K$48,2,FALSE)))</f>
        <v>2.86</v>
      </c>
      <c r="F63" s="182">
        <f>ROUNDDOWN((IF(H62="AFIII",VLOOKUP($D63,Sheet1!$A$34:$K$48,5,FALSE),IF(H62="UBIII",VLOOKUP($D63,Sheet1!$A$34:$K$48,8,FALSE),VLOOKUP($D63,Sheet1!$A$34:$K$48,2,FALSE))))*0.85,2)</f>
        <v>2.4300000000000002</v>
      </c>
      <c r="G63" s="182">
        <f t="shared" si="86"/>
        <v>2.86</v>
      </c>
      <c r="H63" s="183" t="s">
        <v>84</v>
      </c>
      <c r="I63" s="182">
        <f>I62-G63</f>
        <v>4.2800000000000011</v>
      </c>
      <c r="K63" s="182">
        <f t="shared" ref="K63:K65" si="92">K62-G63</f>
        <v>16.170000000000002</v>
      </c>
      <c r="L63" s="182">
        <f t="shared" ref="L63:L65" si="93">L62-G63</f>
        <v>46.17</v>
      </c>
      <c r="N63" s="182">
        <f t="shared" ref="N63:N65" si="94">N62-G63</f>
        <v>9.0300000000000011</v>
      </c>
      <c r="O63" s="182">
        <f t="shared" si="72"/>
        <v>38.609999999999857</v>
      </c>
      <c r="Q63" s="182">
        <f t="shared" si="85"/>
        <v>4.7800000000000011</v>
      </c>
      <c r="R63" s="182">
        <f t="shared" si="91"/>
        <v>51.89</v>
      </c>
      <c r="U63" s="184">
        <f t="shared" si="75"/>
        <v>30.829999999999956</v>
      </c>
      <c r="V63" s="201">
        <f>IF(H62="AFIII",VLOOKUP(D63,Sheet1!$A$4:$H$18,5,FALSE),IF(H62="UBIII",VLOOKUP(D63,Sheet1!$A$4:$H$18,8,FALSE),IF(H62="",VLOOKUP(D63,Sheet1!$A$4:$H$18,2,FALSE),"0")))</f>
        <v>1768</v>
      </c>
      <c r="W63" s="201">
        <f t="shared" si="76"/>
        <v>0</v>
      </c>
      <c r="X63" s="208">
        <f t="shared" si="77"/>
        <v>1725</v>
      </c>
      <c r="Y63" s="171" t="str">
        <f t="shared" si="78"/>
        <v>SUCCESS</v>
      </c>
      <c r="Z63" s="171" t="str">
        <f t="shared" si="79"/>
        <v>SUCCESS</v>
      </c>
      <c r="AA63" s="185">
        <f t="shared" si="48"/>
        <v>161.23217648641366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518</v>
      </c>
      <c r="B64" s="113">
        <f t="shared" si="67"/>
        <v>24490</v>
      </c>
      <c r="C64" s="118">
        <f>C63+G64</f>
        <v>151.07000000000008</v>
      </c>
      <c r="D64" s="181" t="s">
        <v>129</v>
      </c>
      <c r="E64" s="182">
        <f>IF(H63="AFIII",VLOOKUP($D64,Sheet1!$A$34:$K$48,5,FALSE),IF(H63="UBIII",VLOOKUP($D64,Sheet1!$A$34:$K$48,8,FALSE),VLOOKUP($D64,Sheet1!$A$34:$K$48,2,FALSE)))</f>
        <v>2.39</v>
      </c>
      <c r="F64" s="182">
        <f>ROUNDDOWN((IF(H63="AFIII",VLOOKUP($D64,Sheet1!$A$34:$K$48,5,FALSE),IF(H63="UBIII",VLOOKUP($D64,Sheet1!$A$34:$K$48,8,FALSE),VLOOKUP($D64,Sheet1!$A$34:$K$48,2,FALSE))))*0.85,2)</f>
        <v>2.0299999999999998</v>
      </c>
      <c r="G64" s="182">
        <f t="shared" si="86"/>
        <v>2.39</v>
      </c>
      <c r="H64" s="183" t="s">
        <v>84</v>
      </c>
      <c r="I64" s="182">
        <v>10</v>
      </c>
      <c r="K64" s="182">
        <f t="shared" si="92"/>
        <v>13.780000000000001</v>
      </c>
      <c r="L64" s="182">
        <f t="shared" si="93"/>
        <v>43.78</v>
      </c>
      <c r="N64" s="182">
        <f t="shared" si="94"/>
        <v>6.6400000000000006</v>
      </c>
      <c r="O64" s="182">
        <f t="shared" si="72"/>
        <v>36.219999999999857</v>
      </c>
      <c r="Q64" s="182">
        <f t="shared" si="85"/>
        <v>2.390000000000001</v>
      </c>
      <c r="R64" s="182">
        <f>R63-G64</f>
        <v>49.5</v>
      </c>
      <c r="U64" s="184">
        <f t="shared" si="75"/>
        <v>28.439999999999955</v>
      </c>
      <c r="V64" s="201">
        <f>IF(H63="AFIII",VLOOKUP(D64,Sheet1!$A$4:$H$18,5,FALSE),IF(H63="UBIII",VLOOKUP(D64,Sheet1!$A$4:$H$18,8,FALSE),IF(H63="",VLOOKUP(D64,Sheet1!$A$4:$H$18,2,FALSE),"0")))</f>
        <v>0</v>
      </c>
      <c r="W64" s="201">
        <f t="shared" si="76"/>
        <v>0</v>
      </c>
      <c r="X64" s="208">
        <f>IF(M64="コンバート",(IF(D64="フレア",0,IF(X63-V64+W64&gt;$X$3,$X$3-V64,X63-V64+W64)))+$X$1,IF(D64="フレア",0,IF(X63-V64+W64&gt;$X$3,$X$3-V64,X63-V64+W64)))</f>
        <v>1725</v>
      </c>
      <c r="Y64" s="171" t="str">
        <f t="shared" si="78"/>
        <v>SUCCESS</v>
      </c>
      <c r="Z64" s="171" t="str">
        <f t="shared" si="79"/>
        <v>SUCCESS</v>
      </c>
      <c r="AA64" s="185">
        <f t="shared" si="48"/>
        <v>162.1102800026477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201</v>
      </c>
      <c r="B65" s="113">
        <f t="shared" si="67"/>
        <v>24691</v>
      </c>
      <c r="C65" s="118">
        <f t="shared" ref="C65" si="95">C64+G65</f>
        <v>153.46000000000006</v>
      </c>
      <c r="D65" s="181" t="s">
        <v>12</v>
      </c>
      <c r="E65" s="182">
        <f>IF(H64="AFIII",VLOOKUP($D65,Sheet1!$A$34:$K$48,5,FALSE),IF(H64="UBIII",VLOOKUP($D65,Sheet1!$A$34:$K$48,8,FALSE),VLOOKUP($D65,Sheet1!$A$34:$K$48,2,FALSE)))</f>
        <v>1.67</v>
      </c>
      <c r="F65" s="182">
        <f>ROUNDDOWN((IF(H64="AFIII",VLOOKUP($D65,Sheet1!$A$34:$K$48,5,FALSE),IF(H64="UBIII",VLOOKUP($D65,Sheet1!$A$34:$K$48,8,FALSE),VLOOKUP($D65,Sheet1!$A$34:$K$48,2,FALSE))))*0.85,2)</f>
        <v>1.41</v>
      </c>
      <c r="G65" s="182">
        <f>IF(M64="迅速",IF(S64="黒魔紋",$F$1,$E$1),IF(S64="黒魔紋",IF(F65&lt;$F$1,$F$1,F65),IF(E65&lt;$E$1,$E$1,E65)))</f>
        <v>2.39</v>
      </c>
      <c r="H65" s="183" t="s">
        <v>122</v>
      </c>
      <c r="I65" s="182">
        <v>10</v>
      </c>
      <c r="K65" s="182">
        <f t="shared" si="92"/>
        <v>11.39</v>
      </c>
      <c r="L65" s="182">
        <f t="shared" si="93"/>
        <v>41.39</v>
      </c>
      <c r="N65" s="182">
        <f t="shared" si="94"/>
        <v>4.25</v>
      </c>
      <c r="O65" s="182">
        <f t="shared" si="72"/>
        <v>33.829999999999856</v>
      </c>
      <c r="Q65" s="182">
        <f t="shared" si="85"/>
        <v>0</v>
      </c>
      <c r="R65" s="182">
        <f t="shared" ref="R65" si="96">R64-G65</f>
        <v>47.11</v>
      </c>
      <c r="U65" s="184">
        <f t="shared" si="75"/>
        <v>26.049999999999955</v>
      </c>
      <c r="V65" s="201">
        <f>IF(H64="AFIII",VLOOKUP(D65,Sheet1!$A$4:$H$18,5,FALSE),IF(H64="UBIII",VLOOKUP(D65,Sheet1!$A$4:$H$18,8,FALSE),IF(H64="",VLOOKUP(D65,Sheet1!$A$4:$H$18,2,FALSE),"0")))</f>
        <v>265</v>
      </c>
      <c r="W65" s="201">
        <f t="shared" si="76"/>
        <v>0</v>
      </c>
      <c r="X65" s="208">
        <f t="shared" ref="X65" si="97">IF(M65="コンバート",(IF(D65="フレア",0,IF(X64-V65+W65&gt;$X$3,$X$3-V65,X64-V65+W65)))+$X$1,IF(D65="フレア",0,IF(X64-V65+W65&gt;$X$3,$X$3-V65,X64-V65+W65)))</f>
        <v>1460</v>
      </c>
      <c r="Y65" s="171" t="str">
        <f t="shared" si="78"/>
        <v>SUCCESS</v>
      </c>
      <c r="Z65" s="171" t="str">
        <f t="shared" si="79"/>
        <v>SUCCESS</v>
      </c>
      <c r="AA65" s="185">
        <f t="shared" si="48"/>
        <v>160.89534732177759</v>
      </c>
    </row>
    <row r="66" spans="1:27">
      <c r="A66" s="119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336</v>
      </c>
      <c r="B66" s="120">
        <f t="shared" ref="B66:B73" si="98">B65+A66</f>
        <v>25027</v>
      </c>
      <c r="C66" s="121">
        <f t="shared" ref="C66:C73" si="99">C65+G66</f>
        <v>156.32000000000008</v>
      </c>
      <c r="D66" s="191" t="s">
        <v>14</v>
      </c>
      <c r="E66" s="192">
        <f>IF(H65="AFIII",VLOOKUP($D66,Sheet1!$A$34:$K$48,5,FALSE),IF(H65="UBIII",VLOOKUP($D66,Sheet1!$A$34:$K$48,8,FALSE),VLOOKUP($D66,Sheet1!$A$34:$K$48,2,FALSE)))</f>
        <v>2.86</v>
      </c>
      <c r="F66" s="192">
        <f>ROUNDDOWN((IF(H65="AFIII",VLOOKUP($D66,Sheet1!$A$34:$K$48,5,FALSE),IF(H65="UBIII",VLOOKUP($D66,Sheet1!$A$34:$K$48,8,FALSE),VLOOKUP($D66,Sheet1!$A$34:$K$48,2,FALSE))))*0.85,2)</f>
        <v>2.4300000000000002</v>
      </c>
      <c r="G66" s="192">
        <f t="shared" ref="G66:G73" si="100">IF(M65="迅速",IF(S65="黒魔紋",$F$1,$E$1),IF(S65="黒魔紋",IF(F66&lt;$F$1,$F$1,F66),IF(E66&lt;$E$1,$E$1,E66)))</f>
        <v>2.86</v>
      </c>
      <c r="H66" s="193" t="s">
        <v>122</v>
      </c>
      <c r="I66" s="192">
        <f t="shared" ref="I66" si="101">I65-G66</f>
        <v>7.1400000000000006</v>
      </c>
      <c r="J66" s="193"/>
      <c r="K66" s="192">
        <v>25</v>
      </c>
      <c r="L66" s="192">
        <f t="shared" ref="L66:L73" si="102">L65-G66</f>
        <v>38.53</v>
      </c>
      <c r="M66" s="193"/>
      <c r="N66" s="192"/>
      <c r="O66" s="192">
        <f t="shared" ref="O66:O73" si="103">O65-G66</f>
        <v>30.969999999999857</v>
      </c>
      <c r="P66" s="193"/>
      <c r="Q66" s="192">
        <f>Q65-G66</f>
        <v>-2.86</v>
      </c>
      <c r="R66" s="192">
        <f t="shared" ref="R66:R73" si="104">R65-G66</f>
        <v>44.25</v>
      </c>
      <c r="S66" s="193"/>
      <c r="T66" s="192"/>
      <c r="U66" s="194">
        <f t="shared" ref="U66:U73" si="105">U65-G66</f>
        <v>23.189999999999955</v>
      </c>
      <c r="V66" s="211">
        <f>IF(H65="AFIII",VLOOKUP(D66,Sheet1!$A$4:$H$18,5,FALSE),IF(H65="UBIII",VLOOKUP(D66,Sheet1!$A$4:$H$18,8,FALSE),IF(H65="",VLOOKUP(D66,Sheet1!$A$4:$H$18,2,FALSE),"0")))</f>
        <v>884</v>
      </c>
      <c r="W66" s="211">
        <f t="shared" ref="W66:W73" si="106">IF(H65="UBIII",$X$2,0)</f>
        <v>7033</v>
      </c>
      <c r="X66" s="212">
        <f t="shared" ref="X66:X73" si="107">IF(M66="コンバート",(IF(D66="フレア",0,IF(X65-V66+W66&gt;$X$3,$X$3-V66,X65-V66+W66)))+$X$1,IF(D66="フレア",0,IF(X65-V66+W66&gt;$X$3,$X$3-V66,X65-V66+W66)))</f>
        <v>7609</v>
      </c>
      <c r="Y66" s="195" t="str">
        <f t="shared" ref="Y66:Y73" si="108">IF(X65-V66&lt;0,"ERROR","SUCCESS")</f>
        <v>SUCCESS</v>
      </c>
      <c r="Z66" s="195" t="str">
        <f t="shared" ref="Z66:Z73" si="109">IF(K65-G66&lt;0,"ERROR","SUCCESS")</f>
        <v>SUCCESS</v>
      </c>
      <c r="AA66" s="185">
        <f t="shared" ref="AA66:AA129" si="110">B66/C66</f>
        <v>160.10107471852601</v>
      </c>
    </row>
    <row r="67" spans="1:27">
      <c r="A67" s="112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168</v>
      </c>
      <c r="B67" s="113">
        <f t="shared" si="98"/>
        <v>25195</v>
      </c>
      <c r="C67" s="118">
        <f t="shared" si="99"/>
        <v>158.71000000000006</v>
      </c>
      <c r="D67" s="181" t="s">
        <v>4</v>
      </c>
      <c r="E67" s="182">
        <f>IF(H66="AFIII",VLOOKUP($D67,Sheet1!$A$34:$K$48,5,FALSE),IF(H66="UBIII",VLOOKUP($D67,Sheet1!$A$34:$K$48,8,FALSE),VLOOKUP($D67,Sheet1!$A$34:$K$48,2,FALSE)))</f>
        <v>1.67</v>
      </c>
      <c r="F67" s="182">
        <f>ROUNDDOWN((IF(H66="AFIII",VLOOKUP($D67,Sheet1!$A$34:$K$48,5,FALSE),IF(H66="UBIII",VLOOKUP($D67,Sheet1!$A$34:$K$48,8,FALSE),VLOOKUP($D67,Sheet1!$A$34:$K$48,2,FALSE))))*0.85,2)</f>
        <v>1.41</v>
      </c>
      <c r="G67" s="182">
        <f t="shared" si="100"/>
        <v>2.39</v>
      </c>
      <c r="H67" s="183" t="s">
        <v>84</v>
      </c>
      <c r="I67" s="182">
        <v>10</v>
      </c>
      <c r="K67" s="182">
        <f>K66-G67</f>
        <v>22.61</v>
      </c>
      <c r="L67" s="182">
        <f t="shared" si="102"/>
        <v>36.14</v>
      </c>
      <c r="O67" s="182">
        <f t="shared" si="103"/>
        <v>28.579999999999856</v>
      </c>
      <c r="Q67" s="182">
        <f t="shared" ref="Q67:Q81" si="111">Q66-G67</f>
        <v>-5.25</v>
      </c>
      <c r="R67" s="182">
        <f t="shared" si="104"/>
        <v>41.86</v>
      </c>
      <c r="U67" s="184">
        <f t="shared" si="105"/>
        <v>20.799999999999955</v>
      </c>
      <c r="V67" s="201">
        <f>IF(H66="AFIII",VLOOKUP(D67,Sheet1!$A$4:$H$18,5,FALSE),IF(H66="UBIII",VLOOKUP(D67,Sheet1!$A$4:$H$18,8,FALSE),IF(H66="",VLOOKUP(D67,Sheet1!$A$4:$H$18,2,FALSE),"0")))</f>
        <v>442</v>
      </c>
      <c r="W67" s="201">
        <f t="shared" si="106"/>
        <v>7033</v>
      </c>
      <c r="X67" s="208">
        <f t="shared" si="107"/>
        <v>10917</v>
      </c>
      <c r="Y67" s="171" t="str">
        <f t="shared" si="108"/>
        <v>SUCCESS</v>
      </c>
      <c r="Z67" s="171" t="str">
        <f t="shared" si="109"/>
        <v>SUCCESS</v>
      </c>
      <c r="AA67" s="185">
        <f t="shared" si="110"/>
        <v>158.74866107995709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504</v>
      </c>
      <c r="B68" s="113">
        <f t="shared" si="98"/>
        <v>25699</v>
      </c>
      <c r="C68" s="118">
        <f t="shared" si="99"/>
        <v>161.57000000000008</v>
      </c>
      <c r="D68" s="181" t="s">
        <v>6</v>
      </c>
      <c r="E68" s="182">
        <f>IF(H67="AFIII",VLOOKUP($D68,Sheet1!$A$34:$K$48,5,FALSE),IF(H67="UBIII",VLOOKUP($D68,Sheet1!$A$34:$K$48,8,FALSE),VLOOKUP($D68,Sheet1!$A$34:$K$48,2,FALSE)))</f>
        <v>2.86</v>
      </c>
      <c r="F68" s="182">
        <f>ROUNDDOWN((IF(H67="AFIII",VLOOKUP($D68,Sheet1!$A$34:$K$48,5,FALSE),IF(H67="UBIII",VLOOKUP($D68,Sheet1!$A$34:$K$48,8,FALSE),VLOOKUP($D68,Sheet1!$A$34:$K$48,2,FALSE))))*0.85,2)</f>
        <v>2.4300000000000002</v>
      </c>
      <c r="G68" s="182">
        <f t="shared" si="100"/>
        <v>2.86</v>
      </c>
      <c r="H68" s="183" t="s">
        <v>84</v>
      </c>
      <c r="I68" s="182">
        <f>I67-G68</f>
        <v>7.1400000000000006</v>
      </c>
      <c r="K68" s="182">
        <f t="shared" ref="K68:K73" si="112">K67-G68</f>
        <v>19.75</v>
      </c>
      <c r="L68" s="182">
        <f t="shared" si="102"/>
        <v>33.28</v>
      </c>
      <c r="O68" s="182">
        <f t="shared" si="103"/>
        <v>25.719999999999857</v>
      </c>
      <c r="Q68" s="182">
        <f t="shared" si="111"/>
        <v>-8.11</v>
      </c>
      <c r="R68" s="182">
        <f t="shared" si="104"/>
        <v>39</v>
      </c>
      <c r="U68" s="184">
        <f t="shared" si="105"/>
        <v>17.939999999999955</v>
      </c>
      <c r="V68" s="201">
        <f>IF(H67="AFIII",VLOOKUP(D68,Sheet1!$A$4:$H$18,5,FALSE),IF(H67="UBIII",VLOOKUP(D68,Sheet1!$A$4:$H$18,8,FALSE),IF(H67="",VLOOKUP(D68,Sheet1!$A$4:$H$18,2,FALSE),"0")))</f>
        <v>1768</v>
      </c>
      <c r="W68" s="201">
        <f t="shared" si="106"/>
        <v>0</v>
      </c>
      <c r="X68" s="208">
        <f t="shared" si="107"/>
        <v>9149</v>
      </c>
      <c r="Y68" s="171" t="str">
        <f t="shared" si="108"/>
        <v>SUCCESS</v>
      </c>
      <c r="Z68" s="171" t="str">
        <f t="shared" si="109"/>
        <v>SUCCESS</v>
      </c>
      <c r="AA68" s="185">
        <f t="shared" si="110"/>
        <v>159.05799343937605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504</v>
      </c>
      <c r="B69" s="113">
        <f t="shared" si="98"/>
        <v>26203</v>
      </c>
      <c r="C69" s="118">
        <f t="shared" si="99"/>
        <v>164.43000000000009</v>
      </c>
      <c r="D69" s="181" t="s">
        <v>6</v>
      </c>
      <c r="E69" s="182">
        <f>IF(H68="AFIII",VLOOKUP($D69,Sheet1!$A$34:$K$48,5,FALSE),IF(H68="UBIII",VLOOKUP($D69,Sheet1!$A$34:$K$48,8,FALSE),VLOOKUP($D69,Sheet1!$A$34:$K$48,2,FALSE)))</f>
        <v>2.86</v>
      </c>
      <c r="F69" s="182">
        <f>ROUNDDOWN((IF(H68="AFIII",VLOOKUP($D69,Sheet1!$A$34:$K$48,5,FALSE),IF(H68="UBIII",VLOOKUP($D69,Sheet1!$A$34:$K$48,8,FALSE),VLOOKUP($D69,Sheet1!$A$34:$K$48,2,FALSE))))*0.85,2)</f>
        <v>2.4300000000000002</v>
      </c>
      <c r="G69" s="182">
        <f t="shared" si="100"/>
        <v>2.86</v>
      </c>
      <c r="H69" s="183" t="s">
        <v>84</v>
      </c>
      <c r="I69" s="182">
        <f>I68-G69</f>
        <v>4.2800000000000011</v>
      </c>
      <c r="K69" s="182">
        <f t="shared" si="112"/>
        <v>16.89</v>
      </c>
      <c r="L69" s="182">
        <f t="shared" si="102"/>
        <v>30.42</v>
      </c>
      <c r="O69" s="182">
        <f t="shared" si="103"/>
        <v>22.859999999999857</v>
      </c>
      <c r="Q69" s="182">
        <f t="shared" si="111"/>
        <v>-10.969999999999999</v>
      </c>
      <c r="R69" s="182">
        <f t="shared" si="104"/>
        <v>36.14</v>
      </c>
      <c r="U69" s="184">
        <f t="shared" si="105"/>
        <v>15.079999999999956</v>
      </c>
      <c r="V69" s="201">
        <f>IF(H68="AFIII",VLOOKUP(D69,Sheet1!$A$4:$H$18,5,FALSE),IF(H68="UBIII",VLOOKUP(D69,Sheet1!$A$4:$H$18,8,FALSE),IF(H68="",VLOOKUP(D69,Sheet1!$A$4:$H$18,2,FALSE),"0")))</f>
        <v>1768</v>
      </c>
      <c r="W69" s="201">
        <f t="shared" si="106"/>
        <v>0</v>
      </c>
      <c r="X69" s="208">
        <f t="shared" si="107"/>
        <v>7381</v>
      </c>
      <c r="Y69" s="171" t="str">
        <f t="shared" si="108"/>
        <v>SUCCESS</v>
      </c>
      <c r="Z69" s="171" t="str">
        <f t="shared" si="109"/>
        <v>SUCCESS</v>
      </c>
      <c r="AA69" s="185">
        <f t="shared" si="110"/>
        <v>159.35656510369145</v>
      </c>
    </row>
    <row r="70" spans="1:27">
      <c r="A70" s="112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324</v>
      </c>
      <c r="B70" s="113">
        <f t="shared" si="98"/>
        <v>26527</v>
      </c>
      <c r="C70" s="118">
        <f t="shared" si="99"/>
        <v>166.82000000000008</v>
      </c>
      <c r="D70" s="181" t="s">
        <v>1</v>
      </c>
      <c r="E70" s="182">
        <f>IF(H69="AFIII",VLOOKUP($D70,Sheet1!$A$34:$K$48,5,FALSE),IF(H69="UBIII",VLOOKUP($D70,Sheet1!$A$34:$K$48,8,FALSE),VLOOKUP($D70,Sheet1!$A$34:$K$48,2,FALSE)))</f>
        <v>2.39</v>
      </c>
      <c r="F70" s="182">
        <f>ROUNDDOWN((IF(H69="AFIII",VLOOKUP($D70,Sheet1!$A$34:$K$48,5,FALSE),IF(H69="UBIII",VLOOKUP($D70,Sheet1!$A$34:$K$48,8,FALSE),VLOOKUP($D70,Sheet1!$A$34:$K$48,2,FALSE))))*0.85,2)</f>
        <v>2.0299999999999998</v>
      </c>
      <c r="G70" s="182">
        <f t="shared" si="100"/>
        <v>2.39</v>
      </c>
      <c r="H70" s="183" t="s">
        <v>84</v>
      </c>
      <c r="I70" s="182">
        <v>10</v>
      </c>
      <c r="K70" s="182">
        <f t="shared" si="112"/>
        <v>14.5</v>
      </c>
      <c r="L70" s="182">
        <f t="shared" si="102"/>
        <v>28.03</v>
      </c>
      <c r="O70" s="182">
        <f t="shared" si="103"/>
        <v>20.469999999999857</v>
      </c>
      <c r="Q70" s="182">
        <f t="shared" si="111"/>
        <v>-13.36</v>
      </c>
      <c r="R70" s="182">
        <f t="shared" si="104"/>
        <v>33.75</v>
      </c>
      <c r="U70" s="184">
        <f t="shared" si="105"/>
        <v>12.689999999999955</v>
      </c>
      <c r="V70" s="201">
        <f>IF(H69="AFIII",VLOOKUP(D70,Sheet1!$A$4:$H$18,5,FALSE),IF(H69="UBIII",VLOOKUP(D70,Sheet1!$A$4:$H$18,8,FALSE),IF(H69="",VLOOKUP(D70,Sheet1!$A$4:$H$18,2,FALSE),"0")))</f>
        <v>2120</v>
      </c>
      <c r="W70" s="201">
        <f t="shared" si="106"/>
        <v>0</v>
      </c>
      <c r="X70" s="208">
        <f t="shared" si="107"/>
        <v>5261</v>
      </c>
      <c r="Y70" s="171" t="str">
        <f t="shared" si="108"/>
        <v>SUCCESS</v>
      </c>
      <c r="Z70" s="171" t="str">
        <f t="shared" si="109"/>
        <v>SUCCESS</v>
      </c>
      <c r="AA70" s="185">
        <f t="shared" si="110"/>
        <v>159.0157055508931</v>
      </c>
    </row>
    <row r="71" spans="1:27">
      <c r="A71" s="112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504</v>
      </c>
      <c r="B71" s="113">
        <f t="shared" si="98"/>
        <v>27031</v>
      </c>
      <c r="C71" s="118">
        <f t="shared" si="99"/>
        <v>169.68000000000009</v>
      </c>
      <c r="D71" s="181" t="s">
        <v>6</v>
      </c>
      <c r="E71" s="182">
        <f>IF(H70="AFIII",VLOOKUP($D71,Sheet1!$A$34:$K$48,5,FALSE),IF(H70="UBIII",VLOOKUP($D71,Sheet1!$A$34:$K$48,8,FALSE),VLOOKUP($D71,Sheet1!$A$34:$K$48,2,FALSE)))</f>
        <v>2.86</v>
      </c>
      <c r="F71" s="182">
        <f>ROUNDDOWN((IF(H70="AFIII",VLOOKUP($D71,Sheet1!$A$34:$K$48,5,FALSE),IF(H70="UBIII",VLOOKUP($D71,Sheet1!$A$34:$K$48,8,FALSE),VLOOKUP($D71,Sheet1!$A$34:$K$48,2,FALSE))))*0.85,2)</f>
        <v>2.4300000000000002</v>
      </c>
      <c r="G71" s="182">
        <f t="shared" si="100"/>
        <v>2.86</v>
      </c>
      <c r="H71" s="183" t="s">
        <v>84</v>
      </c>
      <c r="I71" s="182">
        <f>I70-G71</f>
        <v>7.1400000000000006</v>
      </c>
      <c r="K71" s="182">
        <f t="shared" si="112"/>
        <v>11.64</v>
      </c>
      <c r="L71" s="182">
        <f t="shared" si="102"/>
        <v>25.17</v>
      </c>
      <c r="O71" s="182">
        <f t="shared" si="103"/>
        <v>17.609999999999857</v>
      </c>
      <c r="Q71" s="182">
        <f t="shared" si="111"/>
        <v>-16.22</v>
      </c>
      <c r="R71" s="182">
        <f t="shared" si="104"/>
        <v>30.89</v>
      </c>
      <c r="U71" s="184">
        <f t="shared" si="105"/>
        <v>9.8299999999999557</v>
      </c>
      <c r="V71" s="201">
        <f>IF(H70="AFIII",VLOOKUP(D71,Sheet1!$A$4:$H$18,5,FALSE),IF(H70="UBIII",VLOOKUP(D71,Sheet1!$A$4:$H$18,8,FALSE),IF(H70="",VLOOKUP(D71,Sheet1!$A$4:$H$18,2,FALSE),"0")))</f>
        <v>1768</v>
      </c>
      <c r="W71" s="201">
        <f t="shared" si="106"/>
        <v>0</v>
      </c>
      <c r="X71" s="208">
        <f t="shared" si="107"/>
        <v>3493</v>
      </c>
      <c r="Y71" s="171" t="str">
        <f t="shared" si="108"/>
        <v>SUCCESS</v>
      </c>
      <c r="Z71" s="171" t="str">
        <f t="shared" si="109"/>
        <v>SUCCESS</v>
      </c>
      <c r="AA71" s="185">
        <f t="shared" si="110"/>
        <v>159.30575200377172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504</v>
      </c>
      <c r="B72" s="113">
        <f t="shared" si="98"/>
        <v>27535</v>
      </c>
      <c r="C72" s="118">
        <f t="shared" si="99"/>
        <v>172.54000000000011</v>
      </c>
      <c r="D72" s="181" t="s">
        <v>6</v>
      </c>
      <c r="E72" s="182">
        <f>IF(H71="AFIII",VLOOKUP($D72,Sheet1!$A$34:$K$48,5,FALSE),IF(H71="UBIII",VLOOKUP($D72,Sheet1!$A$34:$K$48,8,FALSE),VLOOKUP($D72,Sheet1!$A$34:$K$48,2,FALSE)))</f>
        <v>2.86</v>
      </c>
      <c r="F72" s="182">
        <f>ROUNDDOWN((IF(H71="AFIII",VLOOKUP($D72,Sheet1!$A$34:$K$48,5,FALSE),IF(H71="UBIII",VLOOKUP($D72,Sheet1!$A$34:$K$48,8,FALSE),VLOOKUP($D72,Sheet1!$A$34:$K$48,2,FALSE))))*0.85,2)</f>
        <v>2.4300000000000002</v>
      </c>
      <c r="G72" s="182">
        <f t="shared" si="100"/>
        <v>2.86</v>
      </c>
      <c r="H72" s="183" t="s">
        <v>84</v>
      </c>
      <c r="I72" s="182">
        <f>I71-G72</f>
        <v>4.2800000000000011</v>
      </c>
      <c r="K72" s="182">
        <f t="shared" si="112"/>
        <v>8.7800000000000011</v>
      </c>
      <c r="L72" s="182">
        <f t="shared" si="102"/>
        <v>22.310000000000002</v>
      </c>
      <c r="O72" s="182">
        <f t="shared" si="103"/>
        <v>14.749999999999858</v>
      </c>
      <c r="Q72" s="182">
        <f t="shared" si="111"/>
        <v>-19.079999999999998</v>
      </c>
      <c r="R72" s="182">
        <f t="shared" si="104"/>
        <v>28.03</v>
      </c>
      <c r="U72" s="184">
        <f t="shared" si="105"/>
        <v>6.9699999999999562</v>
      </c>
      <c r="V72" s="201">
        <f>IF(H71="AFIII",VLOOKUP(D72,Sheet1!$A$4:$H$18,5,FALSE),IF(H71="UBIII",VLOOKUP(D72,Sheet1!$A$4:$H$18,8,FALSE),IF(H71="",VLOOKUP(D72,Sheet1!$A$4:$H$18,2,FALSE),"0")))</f>
        <v>1768</v>
      </c>
      <c r="W72" s="201">
        <f t="shared" si="106"/>
        <v>0</v>
      </c>
      <c r="X72" s="208">
        <f t="shared" si="107"/>
        <v>1725</v>
      </c>
      <c r="Y72" s="171" t="str">
        <f t="shared" si="108"/>
        <v>SUCCESS</v>
      </c>
      <c r="Z72" s="171" t="str">
        <f t="shared" si="109"/>
        <v>SUCCESS</v>
      </c>
      <c r="AA72" s="185">
        <f t="shared" si="110"/>
        <v>159.58618291410679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168</v>
      </c>
      <c r="B73" s="113">
        <f t="shared" si="98"/>
        <v>27703</v>
      </c>
      <c r="C73" s="118">
        <f t="shared" si="99"/>
        <v>174.93000000000009</v>
      </c>
      <c r="D73" s="181" t="s">
        <v>12</v>
      </c>
      <c r="E73" s="182">
        <f>IF(H72="AFIII",VLOOKUP($D73,Sheet1!$A$34:$K$48,5,FALSE),IF(H72="UBIII",VLOOKUP($D73,Sheet1!$A$34:$K$48,8,FALSE),VLOOKUP($D73,Sheet1!$A$34:$K$48,2,FALSE)))</f>
        <v>1.67</v>
      </c>
      <c r="F73" s="182">
        <f>ROUNDDOWN((IF(H72="AFIII",VLOOKUP($D73,Sheet1!$A$34:$K$48,5,FALSE),IF(H72="UBIII",VLOOKUP($D73,Sheet1!$A$34:$K$48,8,FALSE),VLOOKUP($D73,Sheet1!$A$34:$K$48,2,FALSE))))*0.85,2)</f>
        <v>1.41</v>
      </c>
      <c r="G73" s="182">
        <f t="shared" si="100"/>
        <v>2.39</v>
      </c>
      <c r="H73" s="183" t="s">
        <v>122</v>
      </c>
      <c r="I73" s="182">
        <v>10</v>
      </c>
      <c r="K73" s="182">
        <f t="shared" si="112"/>
        <v>6.3900000000000006</v>
      </c>
      <c r="L73" s="182">
        <f t="shared" si="102"/>
        <v>19.920000000000002</v>
      </c>
      <c r="O73" s="182">
        <f t="shared" si="103"/>
        <v>12.359999999999857</v>
      </c>
      <c r="Q73" s="182">
        <f t="shared" si="111"/>
        <v>-21.47</v>
      </c>
      <c r="R73" s="182">
        <f t="shared" si="104"/>
        <v>25.64</v>
      </c>
      <c r="U73" s="184">
        <f t="shared" si="105"/>
        <v>4.5799999999999557</v>
      </c>
      <c r="V73" s="201">
        <f>IF(H72="AFIII",VLOOKUP(D73,Sheet1!$A$4:$H$18,5,FALSE),IF(H72="UBIII",VLOOKUP(D73,Sheet1!$A$4:$H$18,8,FALSE),IF(H72="",VLOOKUP(D73,Sheet1!$A$4:$H$18,2,FALSE),"0")))</f>
        <v>265</v>
      </c>
      <c r="W73" s="201">
        <f t="shared" si="106"/>
        <v>0</v>
      </c>
      <c r="X73" s="208">
        <f t="shared" si="107"/>
        <v>1460</v>
      </c>
      <c r="Y73" s="171" t="str">
        <f t="shared" si="108"/>
        <v>SUCCESS</v>
      </c>
      <c r="Z73" s="171" t="str">
        <f t="shared" si="109"/>
        <v>SUCCESS</v>
      </c>
      <c r="AA73" s="185">
        <f t="shared" si="110"/>
        <v>158.36620362430679</v>
      </c>
    </row>
    <row r="74" spans="1:27">
      <c r="A74" s="119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280</v>
      </c>
      <c r="B74" s="120">
        <f t="shared" ref="B74:B92" si="113">B73+A74</f>
        <v>27983</v>
      </c>
      <c r="C74" s="121">
        <f t="shared" ref="C74:C88" si="114">C73+G74</f>
        <v>177.79000000000011</v>
      </c>
      <c r="D74" s="191" t="s">
        <v>14</v>
      </c>
      <c r="E74" s="192">
        <f>IF(H73="AFIII",VLOOKUP($D74,Sheet1!$A$34:$K$48,5,FALSE),IF(H73="UBIII",VLOOKUP($D74,Sheet1!$A$34:$K$48,8,FALSE),VLOOKUP($D74,Sheet1!$A$34:$K$48,2,FALSE)))</f>
        <v>2.86</v>
      </c>
      <c r="F74" s="192">
        <f>ROUNDDOWN((IF(H73="AFIII",VLOOKUP($D74,Sheet1!$A$34:$K$48,5,FALSE),IF(H73="UBIII",VLOOKUP($D74,Sheet1!$A$34:$K$48,8,FALSE),VLOOKUP($D74,Sheet1!$A$34:$K$48,2,FALSE))))*0.85,2)</f>
        <v>2.4300000000000002</v>
      </c>
      <c r="G74" s="192">
        <f t="shared" ref="G74:G83" si="115">IF(M73="迅速",IF(S73="黒魔紋",$F$1,$E$1),IF(S73="黒魔紋",IF(F74&lt;$F$1,$F$1,F74),IF(E74&lt;$E$1,$E$1,E74)))</f>
        <v>2.86</v>
      </c>
      <c r="H74" s="193" t="s">
        <v>122</v>
      </c>
      <c r="I74" s="192">
        <f>I73-G74</f>
        <v>7.1400000000000006</v>
      </c>
      <c r="J74" s="193"/>
      <c r="K74" s="192">
        <v>20</v>
      </c>
      <c r="L74" s="192">
        <f t="shared" ref="L74:L82" si="116">L73-G74</f>
        <v>17.060000000000002</v>
      </c>
      <c r="M74" s="193"/>
      <c r="N74" s="192"/>
      <c r="O74" s="192">
        <f t="shared" ref="O74:O82" si="117">O73-G74</f>
        <v>9.4999999999998579</v>
      </c>
      <c r="P74" s="193"/>
      <c r="Q74" s="192">
        <f t="shared" si="111"/>
        <v>-24.33</v>
      </c>
      <c r="R74" s="192">
        <f t="shared" ref="R74:R77" si="118">R73-G74</f>
        <v>22.78</v>
      </c>
      <c r="S74" s="193"/>
      <c r="T74" s="192"/>
      <c r="U74" s="194">
        <f t="shared" ref="U74:U82" si="119">U73-G74</f>
        <v>1.7199999999999558</v>
      </c>
      <c r="V74" s="211">
        <f>IF(H73="AFIII",VLOOKUP(D74,Sheet1!$A$4:$H$18,5,FALSE),IF(H73="UBIII",VLOOKUP(D74,Sheet1!$A$4:$H$18,8,FALSE),IF(H73="",VLOOKUP(D74,Sheet1!$A$4:$H$18,2,FALSE),"0")))</f>
        <v>884</v>
      </c>
      <c r="W74" s="211">
        <f t="shared" ref="W74:W92" si="120">IF(H73="UBIII",$X$2,0)</f>
        <v>7033</v>
      </c>
      <c r="X74" s="212">
        <f t="shared" ref="X74:X88" si="121">IF(M74="コンバート",(IF(D74="フレア",0,IF(X73-V74+W74&gt;$X$3,$X$3-V74,X73-V74+W74)))+$X$1,IF(D74="フレア",0,IF(X73-V74+W74&gt;$X$3,$X$3-V74,X73-V74+W74)))</f>
        <v>7609</v>
      </c>
      <c r="Y74" s="195" t="str">
        <f t="shared" ref="Y74:Y92" si="122">IF(X73-V74&lt;0,"ERROR","SUCCESS")</f>
        <v>SUCCESS</v>
      </c>
      <c r="Z74" s="195" t="str">
        <f t="shared" ref="Z74:Z92" si="123">IF(K73-G74&lt;0,"ERROR","SUCCESS")</f>
        <v>SUCCESS</v>
      </c>
      <c r="AA74" s="185">
        <f t="shared" si="110"/>
        <v>157.39355419314913</v>
      </c>
    </row>
    <row r="75" spans="1:27">
      <c r="A75" s="112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168</v>
      </c>
      <c r="B75" s="113">
        <f t="shared" si="113"/>
        <v>28151</v>
      </c>
      <c r="C75" s="118">
        <f t="shared" si="114"/>
        <v>180.18000000000009</v>
      </c>
      <c r="D75" s="181" t="s">
        <v>3</v>
      </c>
      <c r="E75" s="182">
        <f>IF(H74="AFIII",VLOOKUP($D75,Sheet1!$A$34:$K$48,5,FALSE),IF(H74="UBIII",VLOOKUP($D75,Sheet1!$A$34:$K$48,8,FALSE),VLOOKUP($D75,Sheet1!$A$34:$K$48,2,FALSE)))</f>
        <v>1.67</v>
      </c>
      <c r="F75" s="182">
        <f>ROUNDDOWN((IF(H74="AFIII",VLOOKUP($D75,Sheet1!$A$34:$K$48,5,FALSE),IF(H74="UBIII",VLOOKUP($D75,Sheet1!$A$34:$K$48,8,FALSE),VLOOKUP($D75,Sheet1!$A$34:$K$48,2,FALSE))))*0.85,2)</f>
        <v>1.41</v>
      </c>
      <c r="G75" s="182">
        <f t="shared" si="115"/>
        <v>2.39</v>
      </c>
      <c r="H75" s="183" t="s">
        <v>84</v>
      </c>
      <c r="I75" s="182">
        <v>10</v>
      </c>
      <c r="K75" s="182">
        <f>K74-G75</f>
        <v>17.61</v>
      </c>
      <c r="L75" s="182">
        <f t="shared" si="116"/>
        <v>14.670000000000002</v>
      </c>
      <c r="O75" s="182">
        <f t="shared" si="117"/>
        <v>7.1099999999998573</v>
      </c>
      <c r="Q75" s="182">
        <f t="shared" si="111"/>
        <v>-26.72</v>
      </c>
      <c r="R75" s="182">
        <f t="shared" si="118"/>
        <v>20.39</v>
      </c>
      <c r="U75" s="184">
        <f t="shared" si="119"/>
        <v>-0.67000000000004434</v>
      </c>
      <c r="V75" s="201">
        <f>IF(H74="AFIII",VLOOKUP(D75,Sheet1!$A$4:$H$18,5,FALSE),IF(H74="UBIII",VLOOKUP(D75,Sheet1!$A$4:$H$18,8,FALSE),IF(H74="",VLOOKUP(D75,Sheet1!$A$4:$H$18,2,FALSE),"0")))</f>
        <v>442</v>
      </c>
      <c r="W75" s="201">
        <f t="shared" si="120"/>
        <v>7033</v>
      </c>
      <c r="X75" s="208">
        <f t="shared" si="121"/>
        <v>10917</v>
      </c>
      <c r="Y75" s="171" t="str">
        <f t="shared" si="122"/>
        <v>SUCCESS</v>
      </c>
      <c r="Z75" s="171" t="str">
        <f t="shared" si="123"/>
        <v>SUCCESS</v>
      </c>
      <c r="AA75" s="185">
        <f t="shared" si="110"/>
        <v>156.23820623820615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504</v>
      </c>
      <c r="B76" s="113">
        <f t="shared" si="113"/>
        <v>28655</v>
      </c>
      <c r="C76" s="118">
        <f t="shared" si="114"/>
        <v>183.04000000000011</v>
      </c>
      <c r="D76" s="181" t="s">
        <v>5</v>
      </c>
      <c r="E76" s="182">
        <f>IF(H75="AFIII",VLOOKUP($D76,Sheet1!$A$34:$K$48,5,FALSE),IF(H75="UBIII",VLOOKUP($D76,Sheet1!$A$34:$K$48,8,FALSE),VLOOKUP($D76,Sheet1!$A$34:$K$48,2,FALSE)))</f>
        <v>2.86</v>
      </c>
      <c r="F76" s="182">
        <f>ROUNDDOWN((IF(H75="AFIII",VLOOKUP($D76,Sheet1!$A$34:$K$48,5,FALSE),IF(H75="UBIII",VLOOKUP($D76,Sheet1!$A$34:$K$48,8,FALSE),VLOOKUP($D76,Sheet1!$A$34:$K$48,2,FALSE))))*0.85,2)</f>
        <v>2.4300000000000002</v>
      </c>
      <c r="G76" s="182">
        <f t="shared" si="115"/>
        <v>2.86</v>
      </c>
      <c r="H76" s="183" t="s">
        <v>84</v>
      </c>
      <c r="I76" s="182">
        <f>I75-G76</f>
        <v>7.1400000000000006</v>
      </c>
      <c r="K76" s="182">
        <f t="shared" ref="K76:K82" si="124">K75-G76</f>
        <v>14.75</v>
      </c>
      <c r="L76" s="182">
        <f t="shared" si="116"/>
        <v>11.810000000000002</v>
      </c>
      <c r="O76" s="182">
        <f t="shared" si="117"/>
        <v>4.2499999999998579</v>
      </c>
      <c r="Q76" s="182">
        <f t="shared" si="111"/>
        <v>-29.58</v>
      </c>
      <c r="R76" s="182">
        <f t="shared" si="118"/>
        <v>17.53</v>
      </c>
      <c r="U76" s="184">
        <f t="shared" si="119"/>
        <v>-3.5300000000000442</v>
      </c>
      <c r="V76" s="201">
        <f>IF(H75="AFIII",VLOOKUP(D76,Sheet1!$A$4:$H$18,5,FALSE),IF(H75="UBIII",VLOOKUP(D76,Sheet1!$A$4:$H$18,8,FALSE),IF(H75="",VLOOKUP(D76,Sheet1!$A$4:$H$18,2,FALSE),"0")))</f>
        <v>1768</v>
      </c>
      <c r="W76" s="201">
        <f t="shared" si="120"/>
        <v>0</v>
      </c>
      <c r="X76" s="208">
        <f t="shared" si="121"/>
        <v>9149</v>
      </c>
      <c r="Y76" s="171" t="str">
        <f t="shared" si="122"/>
        <v>SUCCESS</v>
      </c>
      <c r="Z76" s="171" t="str">
        <f t="shared" si="123"/>
        <v>SUCCESS</v>
      </c>
      <c r="AA76" s="185">
        <f t="shared" si="110"/>
        <v>156.55048076923069</v>
      </c>
    </row>
    <row r="77" spans="1:27">
      <c r="A77" s="112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113"/>
        <v>29159</v>
      </c>
      <c r="C77" s="118">
        <f t="shared" si="114"/>
        <v>185.90000000000012</v>
      </c>
      <c r="D77" s="181" t="s">
        <v>5</v>
      </c>
      <c r="E77" s="182">
        <f>IF(H76="AFIII",VLOOKUP($D77,Sheet1!$A$34:$K$48,5,FALSE),IF(H76="UBIII",VLOOKUP($D77,Sheet1!$A$34:$K$48,8,FALSE),VLOOKUP($D77,Sheet1!$A$34:$K$48,2,FALSE)))</f>
        <v>2.86</v>
      </c>
      <c r="F77" s="182">
        <f>ROUNDDOWN((IF(H76="AFIII",VLOOKUP($D77,Sheet1!$A$34:$K$48,5,FALSE),IF(H76="UBIII",VLOOKUP($D77,Sheet1!$A$34:$K$48,8,FALSE),VLOOKUP($D77,Sheet1!$A$34:$K$48,2,FALSE))))*0.85,2)</f>
        <v>2.4300000000000002</v>
      </c>
      <c r="G77" s="182">
        <f t="shared" si="115"/>
        <v>2.86</v>
      </c>
      <c r="H77" s="183" t="s">
        <v>84</v>
      </c>
      <c r="I77" s="182">
        <f t="shared" ref="I77" si="125">I76-G77</f>
        <v>4.2800000000000011</v>
      </c>
      <c r="K77" s="182">
        <f t="shared" si="124"/>
        <v>11.89</v>
      </c>
      <c r="L77" s="182">
        <f t="shared" si="116"/>
        <v>8.9500000000000028</v>
      </c>
      <c r="O77" s="182">
        <f t="shared" si="117"/>
        <v>1.389999999999858</v>
      </c>
      <c r="Q77" s="182">
        <f t="shared" si="111"/>
        <v>-32.44</v>
      </c>
      <c r="R77" s="182">
        <f t="shared" si="118"/>
        <v>14.670000000000002</v>
      </c>
      <c r="U77" s="184">
        <f t="shared" si="119"/>
        <v>-6.3900000000000441</v>
      </c>
      <c r="V77" s="201">
        <f>IF(H76="AFIII",VLOOKUP(D77,Sheet1!$A$4:$H$18,5,FALSE),IF(H76="UBIII",VLOOKUP(D77,Sheet1!$A$4:$H$18,8,FALSE),IF(H76="",VLOOKUP(D77,Sheet1!$A$4:$H$18,2,FALSE),"0")))</f>
        <v>1768</v>
      </c>
      <c r="W77" s="201">
        <f t="shared" si="120"/>
        <v>0</v>
      </c>
      <c r="X77" s="208">
        <f t="shared" si="121"/>
        <v>7381</v>
      </c>
      <c r="Y77" s="171" t="str">
        <f t="shared" si="122"/>
        <v>SUCCESS</v>
      </c>
      <c r="Z77" s="171" t="str">
        <f t="shared" si="123"/>
        <v>SUCCESS</v>
      </c>
      <c r="AA77" s="185">
        <f t="shared" si="110"/>
        <v>156.85314685314674</v>
      </c>
    </row>
    <row r="78" spans="1:27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324</v>
      </c>
      <c r="B78" s="113">
        <f t="shared" si="113"/>
        <v>29483</v>
      </c>
      <c r="C78" s="118">
        <f t="shared" si="114"/>
        <v>188.29000000000011</v>
      </c>
      <c r="D78" s="181" t="s">
        <v>1</v>
      </c>
      <c r="E78" s="182">
        <f>IF(H77="AFIII",VLOOKUP($D78,Sheet1!$A$34:$K$48,5,FALSE),IF(H77="UBIII",VLOOKUP($D78,Sheet1!$A$34:$K$48,8,FALSE),VLOOKUP($D78,Sheet1!$A$34:$K$48,2,FALSE)))</f>
        <v>2.39</v>
      </c>
      <c r="F78" s="182">
        <f>ROUNDDOWN((IF(H77="AFIII",VLOOKUP($D78,Sheet1!$A$34:$K$48,5,FALSE),IF(H77="UBIII",VLOOKUP($D78,Sheet1!$A$34:$K$48,8,FALSE),VLOOKUP($D78,Sheet1!$A$34:$K$48,2,FALSE))))*0.85,2)</f>
        <v>2.0299999999999998</v>
      </c>
      <c r="G78" s="182">
        <f t="shared" si="115"/>
        <v>2.39</v>
      </c>
      <c r="H78" s="183" t="s">
        <v>84</v>
      </c>
      <c r="I78" s="182">
        <v>10</v>
      </c>
      <c r="K78" s="182">
        <f t="shared" si="124"/>
        <v>9.5</v>
      </c>
      <c r="L78" s="182">
        <f t="shared" si="116"/>
        <v>6.5600000000000023</v>
      </c>
      <c r="O78" s="182">
        <f t="shared" si="117"/>
        <v>-1.0000000000001421</v>
      </c>
      <c r="Q78" s="182">
        <f t="shared" si="111"/>
        <v>-34.83</v>
      </c>
      <c r="R78" s="182">
        <f>R77-G78</f>
        <v>12.280000000000001</v>
      </c>
      <c r="U78" s="184">
        <f t="shared" si="119"/>
        <v>-8.7800000000000438</v>
      </c>
      <c r="V78" s="201">
        <f>IF(H77="AFIII",VLOOKUP(D78,Sheet1!$A$4:$H$18,5,FALSE),IF(H77="UBIII",VLOOKUP(D78,Sheet1!$A$4:$H$18,8,FALSE),IF(H77="",VLOOKUP(D78,Sheet1!$A$4:$H$18,2,FALSE),"0")))</f>
        <v>2120</v>
      </c>
      <c r="W78" s="201">
        <f t="shared" si="120"/>
        <v>0</v>
      </c>
      <c r="X78" s="208">
        <f t="shared" si="121"/>
        <v>5261</v>
      </c>
      <c r="Y78" s="171" t="str">
        <f t="shared" si="122"/>
        <v>SUCCESS</v>
      </c>
      <c r="Z78" s="171" t="str">
        <f t="shared" si="123"/>
        <v>SUCCESS</v>
      </c>
      <c r="AA78" s="185">
        <f t="shared" si="110"/>
        <v>156.58293058579841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504</v>
      </c>
      <c r="B79" s="113">
        <f t="shared" si="113"/>
        <v>29987</v>
      </c>
      <c r="C79" s="118">
        <f t="shared" si="114"/>
        <v>191.15000000000012</v>
      </c>
      <c r="D79" s="181" t="s">
        <v>6</v>
      </c>
      <c r="E79" s="182">
        <f>IF(H78="AFIII",VLOOKUP($D79,Sheet1!$A$34:$K$48,5,FALSE),IF(H78="UBIII",VLOOKUP($D79,Sheet1!$A$34:$K$48,8,FALSE),VLOOKUP($D79,Sheet1!$A$34:$K$48,2,FALSE)))</f>
        <v>2.86</v>
      </c>
      <c r="F79" s="182">
        <f>ROUNDDOWN((IF(H78="AFIII",VLOOKUP($D79,Sheet1!$A$34:$K$48,5,FALSE),IF(H78="UBIII",VLOOKUP($D79,Sheet1!$A$34:$K$48,8,FALSE),VLOOKUP($D79,Sheet1!$A$34:$K$48,2,FALSE))))*0.85,2)</f>
        <v>2.4300000000000002</v>
      </c>
      <c r="G79" s="182">
        <f t="shared" si="115"/>
        <v>2.86</v>
      </c>
      <c r="H79" s="183" t="s">
        <v>84</v>
      </c>
      <c r="I79" s="182">
        <f>I78-G79</f>
        <v>7.1400000000000006</v>
      </c>
      <c r="K79" s="182">
        <f t="shared" si="124"/>
        <v>6.6400000000000006</v>
      </c>
      <c r="L79" s="182">
        <f t="shared" si="116"/>
        <v>3.7000000000000024</v>
      </c>
      <c r="O79" s="182">
        <f t="shared" si="117"/>
        <v>-3.860000000000142</v>
      </c>
      <c r="Q79" s="182">
        <f t="shared" si="111"/>
        <v>-37.69</v>
      </c>
      <c r="R79" s="182">
        <f t="shared" ref="R79:R83" si="126">R78-G79</f>
        <v>9.4200000000000017</v>
      </c>
      <c r="U79" s="184">
        <f t="shared" si="119"/>
        <v>-11.640000000000043</v>
      </c>
      <c r="V79" s="201">
        <f>IF(H78="AFIII",VLOOKUP(D79,Sheet1!$A$4:$H$18,5,FALSE),IF(H78="UBIII",VLOOKUP(D79,Sheet1!$A$4:$H$18,8,FALSE),IF(H78="",VLOOKUP(D79,Sheet1!$A$4:$H$18,2,FALSE),"0")))</f>
        <v>1768</v>
      </c>
      <c r="W79" s="201">
        <f t="shared" si="120"/>
        <v>0</v>
      </c>
      <c r="X79" s="208">
        <f t="shared" si="121"/>
        <v>3493</v>
      </c>
      <c r="Y79" s="171" t="str">
        <f t="shared" si="122"/>
        <v>SUCCESS</v>
      </c>
      <c r="Z79" s="171" t="str">
        <f t="shared" si="123"/>
        <v>SUCCESS</v>
      </c>
      <c r="AA79" s="185">
        <f t="shared" si="110"/>
        <v>156.87679832592195</v>
      </c>
    </row>
    <row r="80" spans="1:27">
      <c r="A80" s="112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504</v>
      </c>
      <c r="B80" s="113">
        <f t="shared" si="113"/>
        <v>30491</v>
      </c>
      <c r="C80" s="118">
        <f t="shared" si="114"/>
        <v>194.01000000000013</v>
      </c>
      <c r="D80" s="181" t="s">
        <v>6</v>
      </c>
      <c r="E80" s="182">
        <f>IF(H79="AFIII",VLOOKUP($D80,Sheet1!$A$34:$K$48,5,FALSE),IF(H79="UBIII",VLOOKUP($D80,Sheet1!$A$34:$K$48,8,FALSE),VLOOKUP($D80,Sheet1!$A$34:$K$48,2,FALSE)))</f>
        <v>2.86</v>
      </c>
      <c r="F80" s="182">
        <f>ROUNDDOWN((IF(H79="AFIII",VLOOKUP($D80,Sheet1!$A$34:$K$48,5,FALSE),IF(H79="UBIII",VLOOKUP($D80,Sheet1!$A$34:$K$48,8,FALSE),VLOOKUP($D80,Sheet1!$A$34:$K$48,2,FALSE))))*0.85,2)</f>
        <v>2.4300000000000002</v>
      </c>
      <c r="G80" s="182">
        <f t="shared" si="115"/>
        <v>2.86</v>
      </c>
      <c r="H80" s="183" t="s">
        <v>84</v>
      </c>
      <c r="I80" s="182">
        <f>I79-G80</f>
        <v>4.2800000000000011</v>
      </c>
      <c r="K80" s="182">
        <f t="shared" si="124"/>
        <v>3.7800000000000007</v>
      </c>
      <c r="L80" s="182">
        <f t="shared" si="116"/>
        <v>0.84000000000000252</v>
      </c>
      <c r="O80" s="182">
        <f t="shared" si="117"/>
        <v>-6.7200000000001419</v>
      </c>
      <c r="Q80" s="182">
        <f t="shared" si="111"/>
        <v>-40.549999999999997</v>
      </c>
      <c r="R80" s="182">
        <f t="shared" si="126"/>
        <v>6.5600000000000023</v>
      </c>
      <c r="U80" s="184">
        <f t="shared" si="119"/>
        <v>-14.500000000000043</v>
      </c>
      <c r="V80" s="201">
        <f>IF(H79="AFIII",VLOOKUP(D80,Sheet1!$A$4:$H$18,5,FALSE),IF(H79="UBIII",VLOOKUP(D80,Sheet1!$A$4:$H$18,8,FALSE),IF(H79="",VLOOKUP(D80,Sheet1!$A$4:$H$18,2,FALSE),"0")))</f>
        <v>1768</v>
      </c>
      <c r="W80" s="201">
        <f t="shared" si="120"/>
        <v>0</v>
      </c>
      <c r="X80" s="208">
        <f t="shared" si="121"/>
        <v>1725</v>
      </c>
      <c r="Y80" s="171" t="str">
        <f t="shared" si="122"/>
        <v>SUCCESS</v>
      </c>
      <c r="Z80" s="171" t="str">
        <f t="shared" si="123"/>
        <v>SUCCESS</v>
      </c>
      <c r="AA80" s="185">
        <f t="shared" si="110"/>
        <v>157.16200195866182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168</v>
      </c>
      <c r="B81" s="113">
        <f t="shared" si="113"/>
        <v>30659</v>
      </c>
      <c r="C81" s="118">
        <f t="shared" si="114"/>
        <v>196.40000000000012</v>
      </c>
      <c r="D81" s="181" t="s">
        <v>12</v>
      </c>
      <c r="E81" s="182">
        <f>IF(H80="AFIII",VLOOKUP($D81,Sheet1!$A$34:$K$48,5,FALSE),IF(H80="UBIII",VLOOKUP($D81,Sheet1!$A$34:$K$48,8,FALSE),VLOOKUP($D81,Sheet1!$A$34:$K$48,2,FALSE)))</f>
        <v>1.67</v>
      </c>
      <c r="F81" s="182">
        <f>ROUNDDOWN((IF(H80="AFIII",VLOOKUP($D81,Sheet1!$A$34:$K$48,5,FALSE),IF(H80="UBIII",VLOOKUP($D81,Sheet1!$A$34:$K$48,8,FALSE),VLOOKUP($D81,Sheet1!$A$34:$K$48,2,FALSE))))*0.85,2)</f>
        <v>1.41</v>
      </c>
      <c r="G81" s="182">
        <f t="shared" si="115"/>
        <v>2.39</v>
      </c>
      <c r="H81" s="183" t="s">
        <v>122</v>
      </c>
      <c r="I81" s="182">
        <v>10</v>
      </c>
      <c r="K81" s="182">
        <f t="shared" si="124"/>
        <v>1.3900000000000006</v>
      </c>
      <c r="L81" s="182">
        <f t="shared" si="116"/>
        <v>-1.5499999999999976</v>
      </c>
      <c r="O81" s="182">
        <f t="shared" si="117"/>
        <v>-9.1100000000001415</v>
      </c>
      <c r="Q81" s="182">
        <f t="shared" si="111"/>
        <v>-42.94</v>
      </c>
      <c r="R81" s="182">
        <f t="shared" si="126"/>
        <v>4.1700000000000017</v>
      </c>
      <c r="S81" s="183" t="s">
        <v>87</v>
      </c>
      <c r="T81" s="182">
        <v>30</v>
      </c>
      <c r="U81" s="184">
        <v>90</v>
      </c>
      <c r="V81" s="201">
        <f>IF(H80="AFIII",VLOOKUP(D81,Sheet1!$A$4:$H$18,5,FALSE),IF(H80="UBIII",VLOOKUP(D81,Sheet1!$A$4:$H$18,8,FALSE),IF(H80="",VLOOKUP(D81,Sheet1!$A$4:$H$18,2,FALSE),"0")))</f>
        <v>265</v>
      </c>
      <c r="W81" s="201">
        <f t="shared" si="120"/>
        <v>0</v>
      </c>
      <c r="X81" s="208">
        <f t="shared" si="121"/>
        <v>1460</v>
      </c>
      <c r="Y81" s="171" t="str">
        <f t="shared" si="122"/>
        <v>SUCCESS</v>
      </c>
      <c r="Z81" s="171" t="str">
        <f t="shared" si="123"/>
        <v>SUCCESS</v>
      </c>
      <c r="AA81" s="185">
        <f t="shared" si="110"/>
        <v>156.10488798370662</v>
      </c>
    </row>
    <row r="82" spans="1:27" ht="12.75" thickBot="1">
      <c r="A82" s="116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295</v>
      </c>
      <c r="B82" s="117">
        <f t="shared" si="113"/>
        <v>30954</v>
      </c>
      <c r="C82" s="125">
        <f t="shared" si="114"/>
        <v>198.83000000000013</v>
      </c>
      <c r="D82" s="196" t="s">
        <v>249</v>
      </c>
      <c r="E82" s="197">
        <f>IF(H81="AFIII",VLOOKUP($D82,Sheet1!$A$34:$K$48,5,FALSE),IF(H81="UBIII",VLOOKUP($D82,Sheet1!$A$34:$K$48,8,FALSE),VLOOKUP($D82,Sheet1!$A$34:$K$48,2,FALSE)))</f>
        <v>2.86</v>
      </c>
      <c r="F82" s="197">
        <f>ROUNDDOWN((IF(H81="AFIII",VLOOKUP($D82,Sheet1!$A$34:$K$48,5,FALSE),IF(H81="UBIII",VLOOKUP($D82,Sheet1!$A$34:$K$48,8,FALSE),VLOOKUP($D82,Sheet1!$A$34:$K$48,2,FALSE))))*0.85,2)</f>
        <v>2.4300000000000002</v>
      </c>
      <c r="G82" s="197">
        <f t="shared" si="115"/>
        <v>2.4300000000000002</v>
      </c>
      <c r="H82" s="198" t="s">
        <v>122</v>
      </c>
      <c r="I82" s="197">
        <f>I81-G82</f>
        <v>7.57</v>
      </c>
      <c r="J82" s="198"/>
      <c r="K82" s="197">
        <f t="shared" si="124"/>
        <v>-1.0399999999999996</v>
      </c>
      <c r="L82" s="197">
        <f t="shared" si="116"/>
        <v>-3.9799999999999978</v>
      </c>
      <c r="M82" s="198"/>
      <c r="N82" s="197"/>
      <c r="O82" s="197">
        <f t="shared" si="117"/>
        <v>-11.540000000000141</v>
      </c>
      <c r="P82" s="198"/>
      <c r="Q82" s="197"/>
      <c r="R82" s="197">
        <f t="shared" si="126"/>
        <v>1.7400000000000015</v>
      </c>
      <c r="S82" s="198" t="s">
        <v>87</v>
      </c>
      <c r="T82" s="197">
        <f t="shared" ref="T82:T92" si="127">T81-G82</f>
        <v>27.57</v>
      </c>
      <c r="U82" s="199">
        <f t="shared" ref="U82:U92" si="128">U81-G82</f>
        <v>87.57</v>
      </c>
      <c r="V82" s="206">
        <f>IF(H81="AFIII",VLOOKUP(D82,Sheet1!$A$4:$H$18,5,FALSE),IF(H81="UBIII",VLOOKUP(D82,Sheet1!$A$4:$H$18,8,FALSE),IF(H81="",VLOOKUP(D82,Sheet1!$A$4:$H$18,2,FALSE),"0")))</f>
        <v>1060</v>
      </c>
      <c r="W82" s="206">
        <f t="shared" si="120"/>
        <v>7033</v>
      </c>
      <c r="X82" s="207">
        <f t="shared" si="121"/>
        <v>7433</v>
      </c>
      <c r="Y82" s="180" t="str">
        <f t="shared" si="122"/>
        <v>SUCCESS</v>
      </c>
      <c r="Z82" s="180" t="str">
        <f t="shared" si="123"/>
        <v>ERROR</v>
      </c>
      <c r="AA82" s="185">
        <f t="shared" si="110"/>
        <v>155.68073228386049</v>
      </c>
    </row>
    <row r="83" spans="1:27" ht="12.75" thickTop="1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168</v>
      </c>
      <c r="B83" s="113">
        <f t="shared" si="113"/>
        <v>31122</v>
      </c>
      <c r="C83" s="118">
        <f t="shared" si="114"/>
        <v>200.86000000000013</v>
      </c>
      <c r="D83" s="181" t="s">
        <v>4</v>
      </c>
      <c r="E83" s="182">
        <f>IF(H82="AFIII",VLOOKUP($D83,Sheet1!$A$34:$K$48,5,FALSE),IF(H82="UBIII",VLOOKUP($D83,Sheet1!$A$34:$K$48,8,FALSE),VLOOKUP($D83,Sheet1!$A$34:$K$48,2,FALSE)))</f>
        <v>1.67</v>
      </c>
      <c r="F83" s="182">
        <f>ROUNDDOWN((IF(H82="AFIII",VLOOKUP($D83,Sheet1!$A$34:$K$48,5,FALSE),IF(H82="UBIII",VLOOKUP($D83,Sheet1!$A$34:$K$48,8,FALSE),VLOOKUP($D83,Sheet1!$A$34:$K$48,2,FALSE))))*0.85,2)</f>
        <v>1.41</v>
      </c>
      <c r="G83" s="182">
        <f t="shared" si="115"/>
        <v>2.0299999999999998</v>
      </c>
      <c r="H83" s="183" t="s">
        <v>84</v>
      </c>
      <c r="I83" s="182">
        <v>10</v>
      </c>
      <c r="J83" s="183" t="s">
        <v>105</v>
      </c>
      <c r="K83" s="182">
        <v>30</v>
      </c>
      <c r="L83" s="182">
        <v>60</v>
      </c>
      <c r="R83" s="182">
        <f t="shared" si="126"/>
        <v>-0.28999999999999826</v>
      </c>
      <c r="S83" s="183" t="s">
        <v>87</v>
      </c>
      <c r="T83" s="182">
        <f t="shared" si="127"/>
        <v>25.54</v>
      </c>
      <c r="U83" s="184">
        <f t="shared" si="128"/>
        <v>85.539999999999992</v>
      </c>
      <c r="V83" s="201">
        <f>IF(H82="AFIII",VLOOKUP(D83,Sheet1!$A$4:$H$18,5,FALSE),IF(H82="UBIII",VLOOKUP(D83,Sheet1!$A$4:$H$18,8,FALSE),IF(H82="",VLOOKUP(D83,Sheet1!$A$4:$H$18,2,FALSE),"0")))</f>
        <v>442</v>
      </c>
      <c r="W83" s="201">
        <f t="shared" si="120"/>
        <v>7033</v>
      </c>
      <c r="X83" s="208">
        <f t="shared" si="121"/>
        <v>10917</v>
      </c>
      <c r="Y83" s="171" t="str">
        <f t="shared" si="122"/>
        <v>SUCCESS</v>
      </c>
      <c r="Z83" s="171" t="str">
        <f t="shared" si="123"/>
        <v>ERROR</v>
      </c>
      <c r="AA83" s="185">
        <f t="shared" si="110"/>
        <v>154.9437419097878</v>
      </c>
    </row>
    <row r="84" spans="1:27">
      <c r="A84" s="112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504</v>
      </c>
      <c r="B84" s="113">
        <f t="shared" si="113"/>
        <v>31626</v>
      </c>
      <c r="C84" s="118">
        <f t="shared" si="114"/>
        <v>203.29000000000013</v>
      </c>
      <c r="D84" s="181" t="s">
        <v>6</v>
      </c>
      <c r="E84" s="182">
        <f>IF(H83="AFIII",VLOOKUP($D84,Sheet1!$A$34:$K$48,5,FALSE),IF(H83="UBIII",VLOOKUP($D84,Sheet1!$A$34:$K$48,8,FALSE),VLOOKUP($D84,Sheet1!$A$34:$K$48,2,FALSE)))</f>
        <v>2.86</v>
      </c>
      <c r="F84" s="182">
        <f>ROUNDDOWN((IF(H83="AFIII",VLOOKUP($D84,Sheet1!$A$34:$K$48,5,FALSE),IF(H83="UBIII",VLOOKUP($D84,Sheet1!$A$34:$K$48,8,FALSE),VLOOKUP($D84,Sheet1!$A$34:$K$48,2,FALSE))))*0.85,2)</f>
        <v>2.4300000000000002</v>
      </c>
      <c r="G84" s="182">
        <f>IF(M83="迅速",IF(S83="黒魔紋",$F$1,$E$1),IF(S83="黒魔紋",IF(F84&lt;$F$1,$F$1,F84),IF(E84&lt;$E$1,$E$1,E84)))</f>
        <v>2.4300000000000002</v>
      </c>
      <c r="H84" s="183" t="s">
        <v>84</v>
      </c>
      <c r="I84" s="182">
        <f>I83-G84</f>
        <v>7.57</v>
      </c>
      <c r="K84" s="182">
        <f>K83-G84</f>
        <v>27.57</v>
      </c>
      <c r="L84" s="182">
        <f>L83-G84</f>
        <v>57.57</v>
      </c>
      <c r="M84" s="183" t="s">
        <v>96</v>
      </c>
      <c r="N84" s="182">
        <v>20</v>
      </c>
      <c r="O84" s="182">
        <v>180</v>
      </c>
      <c r="S84" s="183" t="s">
        <v>87</v>
      </c>
      <c r="T84" s="182">
        <f t="shared" si="127"/>
        <v>23.11</v>
      </c>
      <c r="U84" s="184">
        <f t="shared" si="128"/>
        <v>83.109999999999985</v>
      </c>
      <c r="V84" s="201">
        <f>IF(H83="AFIII",VLOOKUP(D84,Sheet1!$A$4:$H$18,5,FALSE),IF(H83="UBIII",VLOOKUP(D84,Sheet1!$A$4:$H$18,8,FALSE),IF(H83="",VLOOKUP(D84,Sheet1!$A$4:$H$18,2,FALSE),"0")))</f>
        <v>1768</v>
      </c>
      <c r="W84" s="201">
        <f t="shared" si="120"/>
        <v>0</v>
      </c>
      <c r="X84" s="208">
        <f t="shared" si="121"/>
        <v>9149</v>
      </c>
      <c r="Y84" s="171" t="str">
        <f t="shared" si="122"/>
        <v>SUCCESS</v>
      </c>
      <c r="Z84" s="171" t="str">
        <f t="shared" si="123"/>
        <v>SUCCESS</v>
      </c>
      <c r="AA84" s="185">
        <f t="shared" si="110"/>
        <v>155.57085936347079</v>
      </c>
    </row>
    <row r="85" spans="1:27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604</v>
      </c>
      <c r="B85" s="113">
        <f t="shared" si="113"/>
        <v>32230</v>
      </c>
      <c r="C85" s="118">
        <f t="shared" si="114"/>
        <v>205.72000000000014</v>
      </c>
      <c r="D85" s="181" t="s">
        <v>6</v>
      </c>
      <c r="E85" s="182">
        <f>IF(H84="AFIII",VLOOKUP($D85,Sheet1!$A$34:$K$48,5,FALSE),IF(H84="UBIII",VLOOKUP($D85,Sheet1!$A$34:$K$48,8,FALSE),VLOOKUP($D85,Sheet1!$A$34:$K$48,2,FALSE)))</f>
        <v>2.86</v>
      </c>
      <c r="F85" s="182">
        <f>ROUNDDOWN((IF(H84="AFIII",VLOOKUP($D85,Sheet1!$A$34:$K$48,5,FALSE),IF(H84="UBIII",VLOOKUP($D85,Sheet1!$A$34:$K$48,8,FALSE),VLOOKUP($D85,Sheet1!$A$34:$K$48,2,FALSE))))*0.85,2)</f>
        <v>2.4300000000000002</v>
      </c>
      <c r="G85" s="182">
        <f t="shared" ref="G85:G90" si="129">IF(M84="迅速",IF(S84="黒魔紋",$F$1,$E$1),IF(S84="黒魔紋",IF(F85&lt;$F$1,$F$1,F85),IF(E85&lt;$E$1,$E$1,E85)))</f>
        <v>2.4300000000000002</v>
      </c>
      <c r="H85" s="183" t="s">
        <v>84</v>
      </c>
      <c r="I85" s="182">
        <f t="shared" ref="I85" si="130">I84-G85</f>
        <v>5.1400000000000006</v>
      </c>
      <c r="K85" s="182">
        <f t="shared" ref="K85:K86" si="131">K84-G85</f>
        <v>25.14</v>
      </c>
      <c r="L85" s="182">
        <f t="shared" ref="L85:L86" si="132">L84-G85</f>
        <v>55.14</v>
      </c>
      <c r="N85" s="182">
        <f>N84-G85</f>
        <v>17.57</v>
      </c>
      <c r="O85" s="182">
        <f>O84-G85</f>
        <v>177.57</v>
      </c>
      <c r="P85" s="183" t="s">
        <v>131</v>
      </c>
      <c r="R85" s="182">
        <v>60</v>
      </c>
      <c r="S85" s="183" t="s">
        <v>87</v>
      </c>
      <c r="T85" s="182">
        <f t="shared" si="127"/>
        <v>20.68</v>
      </c>
      <c r="U85" s="184">
        <f t="shared" si="128"/>
        <v>80.679999999999978</v>
      </c>
      <c r="V85" s="201">
        <f>IF(H84="AFIII",VLOOKUP(D85,Sheet1!$A$4:$H$18,5,FALSE),IF(H84="UBIII",VLOOKUP(D85,Sheet1!$A$4:$H$18,8,FALSE),IF(H84="",VLOOKUP(D85,Sheet1!$A$4:$H$18,2,FALSE),"0")))</f>
        <v>1768</v>
      </c>
      <c r="W85" s="201">
        <f t="shared" si="120"/>
        <v>0</v>
      </c>
      <c r="X85" s="208">
        <f t="shared" si="121"/>
        <v>7381</v>
      </c>
      <c r="Y85" s="171" t="str">
        <f t="shared" si="122"/>
        <v>SUCCESS</v>
      </c>
      <c r="Z85" s="171" t="str">
        <f t="shared" si="123"/>
        <v>SUCCESS</v>
      </c>
      <c r="AA85" s="185">
        <f t="shared" si="110"/>
        <v>156.66925918724471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388</v>
      </c>
      <c r="B86" s="113">
        <f t="shared" si="113"/>
        <v>32618</v>
      </c>
      <c r="C86" s="118">
        <f t="shared" si="114"/>
        <v>207.75000000000014</v>
      </c>
      <c r="D86" s="181" t="s">
        <v>1</v>
      </c>
      <c r="E86" s="182">
        <f>IF(H85="AFIII",VLOOKUP($D86,Sheet1!$A$34:$K$48,5,FALSE),IF(H85="UBIII",VLOOKUP($D86,Sheet1!$A$34:$K$48,8,FALSE),VLOOKUP($D86,Sheet1!$A$34:$K$48,2,FALSE)))</f>
        <v>2.39</v>
      </c>
      <c r="F86" s="182">
        <f>ROUNDDOWN((IF(H85="AFIII",VLOOKUP($D86,Sheet1!$A$34:$K$48,5,FALSE),IF(H85="UBIII",VLOOKUP($D86,Sheet1!$A$34:$K$48,8,FALSE),VLOOKUP($D86,Sheet1!$A$34:$K$48,2,FALSE))))*0.85,2)</f>
        <v>2.0299999999999998</v>
      </c>
      <c r="G86" s="182">
        <f t="shared" si="129"/>
        <v>2.0299999999999998</v>
      </c>
      <c r="H86" s="183" t="s">
        <v>84</v>
      </c>
      <c r="I86" s="182">
        <v>10</v>
      </c>
      <c r="K86" s="182">
        <f t="shared" si="131"/>
        <v>23.11</v>
      </c>
      <c r="L86" s="182">
        <f t="shared" si="132"/>
        <v>53.11</v>
      </c>
      <c r="N86" s="182">
        <f t="shared" ref="N86" si="133">N85-G86</f>
        <v>15.540000000000001</v>
      </c>
      <c r="O86" s="182">
        <f t="shared" ref="O86:O149" si="134">O85-G86</f>
        <v>175.54</v>
      </c>
      <c r="R86" s="182">
        <f t="shared" ref="R86:R88" si="135">R85-G86</f>
        <v>57.97</v>
      </c>
      <c r="S86" s="183" t="s">
        <v>87</v>
      </c>
      <c r="T86" s="182">
        <f t="shared" si="127"/>
        <v>18.649999999999999</v>
      </c>
      <c r="U86" s="184">
        <f t="shared" si="128"/>
        <v>78.649999999999977</v>
      </c>
      <c r="V86" s="201">
        <f>IF(H85="AFIII",VLOOKUP(D86,Sheet1!$A$4:$H$18,5,FALSE),IF(H85="UBIII",VLOOKUP(D86,Sheet1!$A$4:$H$18,8,FALSE),IF(H85="",VLOOKUP(D86,Sheet1!$A$4:$H$18,2,FALSE),"0")))</f>
        <v>2120</v>
      </c>
      <c r="W86" s="201">
        <f t="shared" si="120"/>
        <v>0</v>
      </c>
      <c r="X86" s="208">
        <f t="shared" si="121"/>
        <v>5261</v>
      </c>
      <c r="Y86" s="171" t="str">
        <f t="shared" si="122"/>
        <v>SUCCESS</v>
      </c>
      <c r="Z86" s="171" t="str">
        <f t="shared" si="123"/>
        <v>SUCCESS</v>
      </c>
      <c r="AA86" s="185">
        <f t="shared" si="110"/>
        <v>157.00601684717196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604</v>
      </c>
      <c r="B87" s="113">
        <f t="shared" si="113"/>
        <v>33222</v>
      </c>
      <c r="C87" s="118">
        <f t="shared" si="114"/>
        <v>210.18000000000015</v>
      </c>
      <c r="D87" s="181" t="s">
        <v>6</v>
      </c>
      <c r="E87" s="182">
        <f>IF(H86="AFIII",VLOOKUP($D87,Sheet1!$A$34:$K$48,5,FALSE),IF(H86="UBIII",VLOOKUP($D87,Sheet1!$A$34:$K$48,8,FALSE),VLOOKUP($D87,Sheet1!$A$34:$K$48,2,FALSE)))</f>
        <v>2.86</v>
      </c>
      <c r="F87" s="182">
        <f>ROUNDDOWN((IF(H86="AFIII",VLOOKUP($D87,Sheet1!$A$34:$K$48,5,FALSE),IF(H86="UBIII",VLOOKUP($D87,Sheet1!$A$34:$K$48,8,FALSE),VLOOKUP($D87,Sheet1!$A$34:$K$48,2,FALSE))))*0.85,2)</f>
        <v>2.4300000000000002</v>
      </c>
      <c r="G87" s="182">
        <f t="shared" si="129"/>
        <v>2.4300000000000002</v>
      </c>
      <c r="H87" s="183" t="s">
        <v>84</v>
      </c>
      <c r="I87" s="182">
        <f>I86-G87</f>
        <v>7.57</v>
      </c>
      <c r="K87" s="182">
        <f>K86-G87</f>
        <v>20.68</v>
      </c>
      <c r="L87" s="182">
        <f>L86-G87</f>
        <v>50.68</v>
      </c>
      <c r="N87" s="182">
        <f>N86-G87</f>
        <v>13.110000000000001</v>
      </c>
      <c r="O87" s="182">
        <f t="shared" si="134"/>
        <v>173.10999999999999</v>
      </c>
      <c r="R87" s="182">
        <f t="shared" si="135"/>
        <v>55.54</v>
      </c>
      <c r="S87" s="183" t="s">
        <v>87</v>
      </c>
      <c r="T87" s="182">
        <f t="shared" si="127"/>
        <v>16.22</v>
      </c>
      <c r="U87" s="184">
        <f t="shared" si="128"/>
        <v>76.21999999999997</v>
      </c>
      <c r="V87" s="201">
        <f>IF(H86="AFIII",VLOOKUP(D87,Sheet1!$A$4:$H$18,5,FALSE),IF(H86="UBIII",VLOOKUP(D87,Sheet1!$A$4:$H$18,8,FALSE),IF(H86="",VLOOKUP(D87,Sheet1!$A$4:$H$18,2,FALSE),"0")))</f>
        <v>1768</v>
      </c>
      <c r="W87" s="201">
        <f t="shared" si="120"/>
        <v>0</v>
      </c>
      <c r="X87" s="208">
        <f t="shared" si="121"/>
        <v>3493</v>
      </c>
      <c r="Y87" s="171" t="str">
        <f t="shared" si="122"/>
        <v>SUCCESS</v>
      </c>
      <c r="Z87" s="171" t="str">
        <f t="shared" si="123"/>
        <v>SUCCESS</v>
      </c>
      <c r="AA87" s="185">
        <f t="shared" si="110"/>
        <v>158.06451612903214</v>
      </c>
    </row>
    <row r="88" spans="1:27">
      <c r="A88" s="112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604</v>
      </c>
      <c r="B88" s="113">
        <f t="shared" si="113"/>
        <v>33826</v>
      </c>
      <c r="C88" s="118">
        <f t="shared" si="114"/>
        <v>212.61000000000016</v>
      </c>
      <c r="D88" s="181" t="s">
        <v>6</v>
      </c>
      <c r="E88" s="182">
        <f>IF(H87="AFIII",VLOOKUP($D88,Sheet1!$A$34:$K$48,5,FALSE),IF(H87="UBIII",VLOOKUP($D88,Sheet1!$A$34:$K$48,8,FALSE),VLOOKUP($D88,Sheet1!$A$34:$K$48,2,FALSE)))</f>
        <v>2.86</v>
      </c>
      <c r="F88" s="182">
        <f>ROUNDDOWN((IF(H87="AFIII",VLOOKUP($D88,Sheet1!$A$34:$K$48,5,FALSE),IF(H87="UBIII",VLOOKUP($D88,Sheet1!$A$34:$K$48,8,FALSE),VLOOKUP($D88,Sheet1!$A$34:$K$48,2,FALSE))))*0.85,2)</f>
        <v>2.4300000000000002</v>
      </c>
      <c r="G88" s="182">
        <f t="shared" si="129"/>
        <v>2.4300000000000002</v>
      </c>
      <c r="H88" s="183" t="s">
        <v>84</v>
      </c>
      <c r="I88" s="182">
        <f>I87-G88</f>
        <v>5.1400000000000006</v>
      </c>
      <c r="K88" s="182">
        <f t="shared" ref="K88:K92" si="136">K87-G88</f>
        <v>18.25</v>
      </c>
      <c r="L88" s="182">
        <f t="shared" ref="L88:L92" si="137">L87-G88</f>
        <v>48.25</v>
      </c>
      <c r="N88" s="182">
        <f t="shared" ref="N88:N92" si="138">N87-G88</f>
        <v>10.680000000000001</v>
      </c>
      <c r="O88" s="182">
        <f t="shared" si="134"/>
        <v>170.67999999999998</v>
      </c>
      <c r="R88" s="182">
        <f t="shared" si="135"/>
        <v>53.11</v>
      </c>
      <c r="S88" s="183" t="s">
        <v>87</v>
      </c>
      <c r="T88" s="182">
        <f t="shared" si="127"/>
        <v>13.79</v>
      </c>
      <c r="U88" s="184">
        <f t="shared" si="128"/>
        <v>73.789999999999964</v>
      </c>
      <c r="V88" s="201">
        <f>IF(H87="AFIII",VLOOKUP(D88,Sheet1!$A$4:$H$18,5,FALSE),IF(H87="UBIII",VLOOKUP(D88,Sheet1!$A$4:$H$18,8,FALSE),IF(H87="",VLOOKUP(D88,Sheet1!$A$4:$H$18,2,FALSE),"0")))</f>
        <v>1768</v>
      </c>
      <c r="W88" s="201">
        <f t="shared" si="120"/>
        <v>0</v>
      </c>
      <c r="X88" s="208">
        <f t="shared" si="121"/>
        <v>1725</v>
      </c>
      <c r="Y88" s="171" t="str">
        <f t="shared" si="122"/>
        <v>SUCCESS</v>
      </c>
      <c r="Z88" s="171" t="str">
        <f t="shared" si="123"/>
        <v>SUCCESS</v>
      </c>
      <c r="AA88" s="185">
        <f t="shared" si="110"/>
        <v>159.09881943464549</v>
      </c>
    </row>
    <row r="89" spans="1:27">
      <c r="A89" s="11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518</v>
      </c>
      <c r="B89" s="113">
        <f t="shared" si="113"/>
        <v>34344</v>
      </c>
      <c r="C89" s="118">
        <f>C88+G89</f>
        <v>214.64000000000016</v>
      </c>
      <c r="D89" s="181" t="s">
        <v>129</v>
      </c>
      <c r="E89" s="182">
        <f>IF(H88="AFIII",VLOOKUP($D89,Sheet1!$A$34:$K$48,5,FALSE),IF(H88="UBIII",VLOOKUP($D89,Sheet1!$A$34:$K$48,8,FALSE),VLOOKUP($D89,Sheet1!$A$34:$K$48,2,FALSE)))</f>
        <v>2.39</v>
      </c>
      <c r="F89" s="182">
        <f>ROUNDDOWN((IF(H88="AFIII",VLOOKUP($D89,Sheet1!$A$34:$K$48,5,FALSE),IF(H88="UBIII",VLOOKUP($D89,Sheet1!$A$34:$K$48,8,FALSE),VLOOKUP($D89,Sheet1!$A$34:$K$48,2,FALSE))))*0.85,2)</f>
        <v>2.0299999999999998</v>
      </c>
      <c r="G89" s="182">
        <f t="shared" si="129"/>
        <v>2.0299999999999998</v>
      </c>
      <c r="H89" s="183" t="s">
        <v>84</v>
      </c>
      <c r="I89" s="182">
        <v>10</v>
      </c>
      <c r="K89" s="182">
        <f t="shared" si="136"/>
        <v>16.22</v>
      </c>
      <c r="L89" s="182">
        <f t="shared" si="137"/>
        <v>46.22</v>
      </c>
      <c r="M89" s="183" t="s">
        <v>100</v>
      </c>
      <c r="N89" s="182">
        <f t="shared" si="138"/>
        <v>8.6500000000000021</v>
      </c>
      <c r="O89" s="182">
        <f t="shared" si="134"/>
        <v>168.64999999999998</v>
      </c>
      <c r="R89" s="182">
        <f>R88-G89</f>
        <v>51.08</v>
      </c>
      <c r="S89" s="183" t="s">
        <v>87</v>
      </c>
      <c r="T89" s="182">
        <f t="shared" si="127"/>
        <v>11.76</v>
      </c>
      <c r="U89" s="184">
        <f t="shared" si="128"/>
        <v>71.759999999999962</v>
      </c>
      <c r="V89" s="201">
        <f>IF(H88="AFIII",VLOOKUP(D89,Sheet1!$A$4:$H$18,5,FALSE),IF(H88="UBIII",VLOOKUP(D89,Sheet1!$A$4:$H$18,8,FALSE),IF(H88="",VLOOKUP(D89,Sheet1!$A$4:$H$18,2,FALSE),"0")))</f>
        <v>0</v>
      </c>
      <c r="W89" s="201">
        <f t="shared" si="120"/>
        <v>0</v>
      </c>
      <c r="X89" s="208">
        <f>IF(M89="コンバート",(IF(D89="フレア",0,IF(X88-V89+W89&gt;$X$3,$X$3-V89,X88-V89+W89)))+$X$1,IF(D89="フレア",0,IF(X88-V89+W89&gt;$X$3,$X$3-V89,X88-V89+W89)))</f>
        <v>5132</v>
      </c>
      <c r="Y89" s="171" t="str">
        <f t="shared" si="122"/>
        <v>SUCCESS</v>
      </c>
      <c r="Z89" s="171" t="str">
        <f t="shared" si="123"/>
        <v>SUCCESS</v>
      </c>
      <c r="AA89" s="185">
        <f t="shared" si="110"/>
        <v>160.00745434215418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604</v>
      </c>
      <c r="B90" s="113">
        <f t="shared" si="113"/>
        <v>34948</v>
      </c>
      <c r="C90" s="118">
        <f>C89+G90</f>
        <v>217.07000000000016</v>
      </c>
      <c r="D90" s="181" t="s">
        <v>6</v>
      </c>
      <c r="E90" s="182">
        <f>IF(H89="AFIII",VLOOKUP($D90,Sheet1!$A$34:$K$48,5,FALSE),IF(H89="UBIII",VLOOKUP($D90,Sheet1!$A$34:$K$48,8,FALSE),VLOOKUP($D90,Sheet1!$A$34:$K$48,2,FALSE)))</f>
        <v>2.86</v>
      </c>
      <c r="F90" s="182">
        <f>ROUNDDOWN((IF(H89="AFIII",VLOOKUP($D90,Sheet1!$A$34:$K$48,5,FALSE),IF(H89="UBIII",VLOOKUP($D90,Sheet1!$A$34:$K$48,8,FALSE),VLOOKUP($D90,Sheet1!$A$34:$K$48,2,FALSE))))*0.85,2)</f>
        <v>2.4300000000000002</v>
      </c>
      <c r="G90" s="182">
        <f t="shared" si="129"/>
        <v>2.4300000000000002</v>
      </c>
      <c r="H90" s="183" t="s">
        <v>84</v>
      </c>
      <c r="I90" s="182">
        <f>I89-G90</f>
        <v>7.57</v>
      </c>
      <c r="K90" s="182">
        <f t="shared" si="136"/>
        <v>13.79</v>
      </c>
      <c r="L90" s="182">
        <f t="shared" si="137"/>
        <v>43.79</v>
      </c>
      <c r="N90" s="182">
        <f t="shared" si="138"/>
        <v>6.2200000000000024</v>
      </c>
      <c r="O90" s="182">
        <f t="shared" si="134"/>
        <v>166.21999999999997</v>
      </c>
      <c r="R90" s="182">
        <f>R89-G90</f>
        <v>48.65</v>
      </c>
      <c r="S90" s="183" t="s">
        <v>87</v>
      </c>
      <c r="T90" s="182">
        <f t="shared" si="127"/>
        <v>9.33</v>
      </c>
      <c r="U90" s="184">
        <f t="shared" si="128"/>
        <v>69.329999999999956</v>
      </c>
      <c r="V90" s="201">
        <f>IF(H89="AFIII",VLOOKUP(D90,Sheet1!$A$4:$H$18,5,FALSE),IF(H89="UBIII",VLOOKUP(D90,Sheet1!$A$4:$H$18,8,FALSE),IF(H89="",VLOOKUP(D90,Sheet1!$A$4:$H$18,2,FALSE),"0")))</f>
        <v>1768</v>
      </c>
      <c r="W90" s="201">
        <f t="shared" si="120"/>
        <v>0</v>
      </c>
      <c r="X90" s="208">
        <f t="shared" ref="X90:X92" si="139">IF(M90="コンバート",(IF(D90="フレア",0,IF(X89-V90+W90&gt;$X$3,$X$3-V90,X89-V90+W90)))+$X$1,IF(D90="フレア",0,IF(X89-V90+W90&gt;$X$3,$X$3-V90,X89-V90+W90)))</f>
        <v>3364</v>
      </c>
      <c r="Y90" s="171" t="str">
        <f t="shared" si="122"/>
        <v>SUCCESS</v>
      </c>
      <c r="Z90" s="171" t="str">
        <f t="shared" si="123"/>
        <v>SUCCESS</v>
      </c>
      <c r="AA90" s="185">
        <f t="shared" si="110"/>
        <v>160.99875616160674</v>
      </c>
    </row>
    <row r="91" spans="1:27">
      <c r="A91" s="11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604</v>
      </c>
      <c r="B91" s="113">
        <f t="shared" si="113"/>
        <v>35552</v>
      </c>
      <c r="C91" s="118">
        <f t="shared" ref="C91:C92" si="140">C90+G91</f>
        <v>219.50000000000017</v>
      </c>
      <c r="D91" s="181" t="s">
        <v>6</v>
      </c>
      <c r="E91" s="182">
        <f>IF(H90="AFIII",VLOOKUP($D91,Sheet1!$A$34:$K$48,5,FALSE),IF(H90="UBIII",VLOOKUP($D91,Sheet1!$A$34:$K$48,8,FALSE),VLOOKUP($D91,Sheet1!$A$34:$K$48,2,FALSE)))</f>
        <v>2.86</v>
      </c>
      <c r="F91" s="182">
        <f>ROUNDDOWN((IF(H90="AFIII",VLOOKUP($D91,Sheet1!$A$34:$K$48,5,FALSE),IF(H90="UBIII",VLOOKUP($D91,Sheet1!$A$34:$K$48,8,FALSE),VLOOKUP($D91,Sheet1!$A$34:$K$48,2,FALSE))))*0.85,2)</f>
        <v>2.4300000000000002</v>
      </c>
      <c r="G91" s="182">
        <f>IF(M90="迅速",IF(S90="黒魔紋",$F$1,$E$1),IF(S90="黒魔紋",IF(F91&lt;$F$1,$F$1,F91),IF(E91&lt;$E$1,$E$1,E91)))</f>
        <v>2.4300000000000002</v>
      </c>
      <c r="H91" s="183" t="s">
        <v>84</v>
      </c>
      <c r="I91" s="182">
        <f>I90-G91</f>
        <v>5.1400000000000006</v>
      </c>
      <c r="K91" s="182">
        <f t="shared" si="136"/>
        <v>11.36</v>
      </c>
      <c r="L91" s="182">
        <f t="shared" si="137"/>
        <v>41.36</v>
      </c>
      <c r="N91" s="182">
        <f t="shared" si="138"/>
        <v>3.7900000000000023</v>
      </c>
      <c r="O91" s="182">
        <f t="shared" si="134"/>
        <v>163.78999999999996</v>
      </c>
      <c r="R91" s="182">
        <f t="shared" ref="R91:R92" si="141">R90-G91</f>
        <v>46.22</v>
      </c>
      <c r="S91" s="183" t="s">
        <v>87</v>
      </c>
      <c r="T91" s="182">
        <f t="shared" si="127"/>
        <v>6.9</v>
      </c>
      <c r="U91" s="184">
        <f t="shared" si="128"/>
        <v>66.899999999999949</v>
      </c>
      <c r="V91" s="201">
        <f>IF(H90="AFIII",VLOOKUP(D91,Sheet1!$A$4:$H$18,5,FALSE),IF(H90="UBIII",VLOOKUP(D91,Sheet1!$A$4:$H$18,8,FALSE),IF(H90="",VLOOKUP(D91,Sheet1!$A$4:$H$18,2,FALSE),"0")))</f>
        <v>1768</v>
      </c>
      <c r="W91" s="201">
        <f t="shared" si="120"/>
        <v>0</v>
      </c>
      <c r="X91" s="208">
        <f t="shared" si="139"/>
        <v>1596</v>
      </c>
      <c r="Y91" s="171" t="str">
        <f t="shared" si="122"/>
        <v>SUCCESS</v>
      </c>
      <c r="Z91" s="171" t="str">
        <f t="shared" si="123"/>
        <v>SUCCESS</v>
      </c>
      <c r="AA91" s="185">
        <f t="shared" si="110"/>
        <v>161.96810933940762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201</v>
      </c>
      <c r="B92" s="113">
        <f t="shared" si="113"/>
        <v>35753</v>
      </c>
      <c r="C92" s="118">
        <f t="shared" si="140"/>
        <v>221.53000000000017</v>
      </c>
      <c r="D92" s="181" t="s">
        <v>12</v>
      </c>
      <c r="E92" s="182">
        <f>IF(H91="AFIII",VLOOKUP($D92,Sheet1!$A$34:$K$48,5,FALSE),IF(H91="UBIII",VLOOKUP($D92,Sheet1!$A$34:$K$48,8,FALSE),VLOOKUP($D92,Sheet1!$A$34:$K$48,2,FALSE)))</f>
        <v>1.67</v>
      </c>
      <c r="F92" s="182">
        <f>ROUNDDOWN((IF(H91="AFIII",VLOOKUP($D92,Sheet1!$A$34:$K$48,5,FALSE),IF(H91="UBIII",VLOOKUP($D92,Sheet1!$A$34:$K$48,8,FALSE),VLOOKUP($D92,Sheet1!$A$34:$K$48,2,FALSE))))*0.85,2)</f>
        <v>1.41</v>
      </c>
      <c r="G92" s="182">
        <f>IF(M91="迅速",IF(S91="黒魔紋",$F$1,$E$1),IF(S91="黒魔紋",IF(F92&lt;$F$1,$F$1,F92),IF(E92&lt;$E$1,$E$1,E92)))</f>
        <v>2.0299999999999998</v>
      </c>
      <c r="H92" s="183" t="s">
        <v>122</v>
      </c>
      <c r="I92" s="182">
        <v>10</v>
      </c>
      <c r="K92" s="182">
        <f t="shared" si="136"/>
        <v>9.33</v>
      </c>
      <c r="L92" s="182">
        <f t="shared" si="137"/>
        <v>39.33</v>
      </c>
      <c r="N92" s="182">
        <f t="shared" si="138"/>
        <v>1.7600000000000025</v>
      </c>
      <c r="O92" s="182">
        <f t="shared" si="134"/>
        <v>161.75999999999996</v>
      </c>
      <c r="R92" s="182">
        <f t="shared" si="141"/>
        <v>44.19</v>
      </c>
      <c r="S92" s="183" t="s">
        <v>87</v>
      </c>
      <c r="T92" s="182">
        <f t="shared" si="127"/>
        <v>4.870000000000001</v>
      </c>
      <c r="U92" s="184">
        <f t="shared" si="128"/>
        <v>64.869999999999948</v>
      </c>
      <c r="V92" s="201">
        <f>IF(H91="AFIII",VLOOKUP(D92,Sheet1!$A$4:$H$18,5,FALSE),IF(H91="UBIII",VLOOKUP(D92,Sheet1!$A$4:$H$18,8,FALSE),IF(H91="",VLOOKUP(D92,Sheet1!$A$4:$H$18,2,FALSE),"0")))</f>
        <v>265</v>
      </c>
      <c r="W92" s="201">
        <f t="shared" si="120"/>
        <v>0</v>
      </c>
      <c r="X92" s="208">
        <f t="shared" si="139"/>
        <v>1331</v>
      </c>
      <c r="Y92" s="171" t="str">
        <f t="shared" si="122"/>
        <v>SUCCESS</v>
      </c>
      <c r="Z92" s="171" t="str">
        <f t="shared" si="123"/>
        <v>SUCCESS</v>
      </c>
      <c r="AA92" s="185">
        <f t="shared" si="110"/>
        <v>161.39123369295342</v>
      </c>
    </row>
    <row r="93" spans="1:27">
      <c r="A93" s="119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280</v>
      </c>
      <c r="B93" s="120">
        <f>B92+A93</f>
        <v>36033</v>
      </c>
      <c r="C93" s="121">
        <f>C92+G93</f>
        <v>223.96000000000018</v>
      </c>
      <c r="D93" s="191" t="s">
        <v>14</v>
      </c>
      <c r="E93" s="192">
        <f>IF(H92="AFIII",VLOOKUP($D93,Sheet1!$A$34:$K$48,5,FALSE),IF(H92="UBIII",VLOOKUP($D93,Sheet1!$A$34:$K$48,8,FALSE),VLOOKUP($D93,Sheet1!$A$34:$K$48,2,FALSE)))</f>
        <v>2.86</v>
      </c>
      <c r="F93" s="192">
        <f>ROUNDDOWN((IF(H92="AFIII",VLOOKUP($D93,Sheet1!$A$34:$K$48,5,FALSE),IF(H92="UBIII",VLOOKUP($D93,Sheet1!$A$34:$K$48,8,FALSE),VLOOKUP($D93,Sheet1!$A$34:$K$48,2,FALSE))))*0.85,2)</f>
        <v>2.4300000000000002</v>
      </c>
      <c r="G93" s="192">
        <f>IF(M92="迅速",IF(S92="黒魔紋",$F$1,$E$1),IF(S92="黒魔紋",IF(F93&lt;$F$1,$F$1,F93),IF(E93&lt;$E$1,$E$1,E93)))</f>
        <v>2.4300000000000002</v>
      </c>
      <c r="H93" s="193" t="s">
        <v>122</v>
      </c>
      <c r="I93" s="192">
        <f>I92-G93</f>
        <v>7.57</v>
      </c>
      <c r="J93" s="193"/>
      <c r="K93" s="192">
        <v>25</v>
      </c>
      <c r="L93" s="192">
        <f>L92-G93</f>
        <v>36.9</v>
      </c>
      <c r="M93" s="193"/>
      <c r="N93" s="192"/>
      <c r="O93" s="192">
        <f>O92-G93</f>
        <v>159.32999999999996</v>
      </c>
      <c r="P93" s="193"/>
      <c r="Q93" s="192"/>
      <c r="R93" s="192">
        <f>R92-G93</f>
        <v>41.76</v>
      </c>
      <c r="S93" s="193"/>
      <c r="T93" s="192">
        <f>T92-G93</f>
        <v>2.4400000000000008</v>
      </c>
      <c r="U93" s="194">
        <f>U92-G93</f>
        <v>62.439999999999948</v>
      </c>
      <c r="V93" s="211">
        <f>IF(H92="AFIII",VLOOKUP(D93,Sheet1!$A$4:$H$18,5,FALSE),IF(H92="UBIII",VLOOKUP(D93,Sheet1!$A$4:$H$18,8,FALSE),IF(H92="",VLOOKUP(D93,Sheet1!$A$4:$H$18,2,FALSE),"0")))</f>
        <v>884</v>
      </c>
      <c r="W93" s="211">
        <f>IF(H92="UBIII",$X$2,0)</f>
        <v>7033</v>
      </c>
      <c r="X93" s="212">
        <f>IF(M93="コンバート",(IF(D93="フレア",0,IF(X92-V93+W93&gt;$X$3,$X$3-V93,X92-V93+W93)))+$X$1,IF(D93="フレア",0,IF(X92-V93+W93&gt;$X$3,$X$3-V93,X92-V93+W93)))</f>
        <v>7480</v>
      </c>
      <c r="Y93" s="195" t="str">
        <f>IF(X92-V93&lt;0,"ERROR","SUCCESS")</f>
        <v>SUCCESS</v>
      </c>
      <c r="Z93" s="195" t="str">
        <f>IF(K92-G93&lt;0,"ERROR","SUCCESS")</f>
        <v>SUCCESS</v>
      </c>
      <c r="AA93" s="185">
        <f t="shared" si="110"/>
        <v>160.89033756027848</v>
      </c>
    </row>
    <row r="94" spans="1:27">
      <c r="A94" s="112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168</v>
      </c>
      <c r="B94" s="113">
        <f t="shared" ref="B94:B157" si="142">B93+A94</f>
        <v>36201</v>
      </c>
      <c r="C94" s="118">
        <f t="shared" ref="C94:C115" si="143">C93+G94</f>
        <v>226.35000000000016</v>
      </c>
      <c r="D94" s="181" t="s">
        <v>4</v>
      </c>
      <c r="E94" s="182">
        <f>IF(H93="AFIII",VLOOKUP($D94,Sheet1!$A$34:$K$48,5,FALSE),IF(H93="UBIII",VLOOKUP($D94,Sheet1!$A$34:$K$48,8,FALSE),VLOOKUP($D94,Sheet1!$A$34:$K$48,2,FALSE)))</f>
        <v>1.67</v>
      </c>
      <c r="F94" s="182">
        <f>ROUNDDOWN((IF(H93="AFIII",VLOOKUP($D94,Sheet1!$A$34:$K$48,5,FALSE),IF(H93="UBIII",VLOOKUP($D94,Sheet1!$A$34:$K$48,8,FALSE),VLOOKUP($D94,Sheet1!$A$34:$K$48,2,FALSE))))*0.85,2)</f>
        <v>1.41</v>
      </c>
      <c r="G94" s="182">
        <f t="shared" ref="G94:G111" si="144">IF(M93="迅速",IF(S93="黒魔紋",$F$1,$E$1),IF(S93="黒魔紋",IF(F94&lt;$F$1,$F$1,F94),IF(E94&lt;$E$1,$E$1,E94)))</f>
        <v>2.39</v>
      </c>
      <c r="H94" s="183" t="s">
        <v>84</v>
      </c>
      <c r="I94" s="182">
        <v>10</v>
      </c>
      <c r="K94" s="182">
        <f>K93-G94</f>
        <v>22.61</v>
      </c>
      <c r="L94" s="182">
        <f t="shared" ref="L94:L109" si="145">L93-G94</f>
        <v>34.51</v>
      </c>
      <c r="O94" s="182">
        <f t="shared" ref="O94:O157" si="146">O93-G94</f>
        <v>156.93999999999997</v>
      </c>
      <c r="R94" s="182">
        <f t="shared" ref="R94:R104" si="147">R93-G94</f>
        <v>39.369999999999997</v>
      </c>
      <c r="T94" s="182">
        <f t="shared" ref="T94:T107" si="148">T93-G94</f>
        <v>5.0000000000000711E-2</v>
      </c>
      <c r="U94" s="184">
        <f t="shared" ref="U94:U157" si="149">U93-G94</f>
        <v>60.049999999999947</v>
      </c>
      <c r="V94" s="201">
        <f>IF(H93="AFIII",VLOOKUP(D94,Sheet1!$A$4:$H$18,5,FALSE),IF(H93="UBIII",VLOOKUP(D94,Sheet1!$A$4:$H$18,8,FALSE),IF(H93="",VLOOKUP(D94,Sheet1!$A$4:$H$18,2,FALSE),"0")))</f>
        <v>442</v>
      </c>
      <c r="W94" s="201">
        <f t="shared" ref="W94:W157" si="150">IF(H93="UBIII",$X$2,0)</f>
        <v>7033</v>
      </c>
      <c r="X94" s="208">
        <f t="shared" ref="X94:X115" si="151">IF(M94="コンバート",(IF(D94="フレア",0,IF(X93-V94+W94&gt;$X$3,$X$3-V94,X93-V94+W94)))+$X$1,IF(D94="フレア",0,IF(X93-V94+W94&gt;$X$3,$X$3-V94,X93-V94+W94)))</f>
        <v>10917</v>
      </c>
      <c r="Y94" s="171" t="str">
        <f t="shared" ref="Y94:Y157" si="152">IF(X93-V94&lt;0,"ERROR","SUCCESS")</f>
        <v>SUCCESS</v>
      </c>
      <c r="Z94" s="171" t="str">
        <f t="shared" ref="Z94:Z157" si="153">IF(K93-G94&lt;0,"ERROR","SUCCESS")</f>
        <v>SUCCESS</v>
      </c>
      <c r="AA94" s="185">
        <f t="shared" si="110"/>
        <v>159.93373094764732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504</v>
      </c>
      <c r="B95" s="113">
        <f t="shared" si="142"/>
        <v>36705</v>
      </c>
      <c r="C95" s="118">
        <f t="shared" si="143"/>
        <v>229.21000000000018</v>
      </c>
      <c r="D95" s="181" t="s">
        <v>6</v>
      </c>
      <c r="E95" s="182">
        <f>IF(H94="AFIII",VLOOKUP($D95,Sheet1!$A$34:$K$48,5,FALSE),IF(H94="UBIII",VLOOKUP($D95,Sheet1!$A$34:$K$48,8,FALSE),VLOOKUP($D95,Sheet1!$A$34:$K$48,2,FALSE)))</f>
        <v>2.86</v>
      </c>
      <c r="F95" s="182">
        <f>ROUNDDOWN((IF(H94="AFIII",VLOOKUP($D95,Sheet1!$A$34:$K$48,5,FALSE),IF(H94="UBIII",VLOOKUP($D95,Sheet1!$A$34:$K$48,8,FALSE),VLOOKUP($D95,Sheet1!$A$34:$K$48,2,FALSE))))*0.85,2)</f>
        <v>2.4300000000000002</v>
      </c>
      <c r="G95" s="182">
        <f t="shared" si="144"/>
        <v>2.86</v>
      </c>
      <c r="H95" s="183" t="s">
        <v>84</v>
      </c>
      <c r="I95" s="182">
        <f>I94-G95</f>
        <v>7.1400000000000006</v>
      </c>
      <c r="K95" s="182">
        <f t="shared" ref="K95:K100" si="154">K94-G95</f>
        <v>19.75</v>
      </c>
      <c r="L95" s="182">
        <f t="shared" si="145"/>
        <v>31.65</v>
      </c>
      <c r="O95" s="182">
        <f t="shared" si="146"/>
        <v>154.07999999999996</v>
      </c>
      <c r="R95" s="182">
        <f t="shared" si="147"/>
        <v>36.51</v>
      </c>
      <c r="T95" s="182">
        <f t="shared" si="148"/>
        <v>-2.8099999999999992</v>
      </c>
      <c r="U95" s="184">
        <f t="shared" si="149"/>
        <v>57.189999999999948</v>
      </c>
      <c r="V95" s="201">
        <f>IF(H94="AFIII",VLOOKUP(D95,Sheet1!$A$4:$H$18,5,FALSE),IF(H94="UBIII",VLOOKUP(D95,Sheet1!$A$4:$H$18,8,FALSE),IF(H94="",VLOOKUP(D95,Sheet1!$A$4:$H$18,2,FALSE),"0")))</f>
        <v>1768</v>
      </c>
      <c r="W95" s="201">
        <f t="shared" si="150"/>
        <v>0</v>
      </c>
      <c r="X95" s="208">
        <f t="shared" si="151"/>
        <v>9149</v>
      </c>
      <c r="Y95" s="171" t="str">
        <f t="shared" si="152"/>
        <v>SUCCESS</v>
      </c>
      <c r="Z95" s="171" t="str">
        <f t="shared" si="153"/>
        <v>SUCCESS</v>
      </c>
      <c r="AA95" s="185">
        <f t="shared" si="110"/>
        <v>160.13699227782371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504</v>
      </c>
      <c r="B96" s="113">
        <f t="shared" si="142"/>
        <v>37209</v>
      </c>
      <c r="C96" s="118">
        <f t="shared" si="143"/>
        <v>232.07000000000019</v>
      </c>
      <c r="D96" s="181" t="s">
        <v>6</v>
      </c>
      <c r="E96" s="182">
        <f>IF(H95="AFIII",VLOOKUP($D96,Sheet1!$A$34:$K$48,5,FALSE),IF(H95="UBIII",VLOOKUP($D96,Sheet1!$A$34:$K$48,8,FALSE),VLOOKUP($D96,Sheet1!$A$34:$K$48,2,FALSE)))</f>
        <v>2.86</v>
      </c>
      <c r="F96" s="182">
        <f>ROUNDDOWN((IF(H95="AFIII",VLOOKUP($D96,Sheet1!$A$34:$K$48,5,FALSE),IF(H95="UBIII",VLOOKUP($D96,Sheet1!$A$34:$K$48,8,FALSE),VLOOKUP($D96,Sheet1!$A$34:$K$48,2,FALSE))))*0.85,2)</f>
        <v>2.4300000000000002</v>
      </c>
      <c r="G96" s="182">
        <f t="shared" si="144"/>
        <v>2.86</v>
      </c>
      <c r="H96" s="183" t="s">
        <v>84</v>
      </c>
      <c r="I96" s="182">
        <f>I95-G96</f>
        <v>4.2800000000000011</v>
      </c>
      <c r="K96" s="182">
        <f t="shared" si="154"/>
        <v>16.89</v>
      </c>
      <c r="L96" s="182">
        <f t="shared" si="145"/>
        <v>28.79</v>
      </c>
      <c r="O96" s="182">
        <f t="shared" si="146"/>
        <v>151.21999999999994</v>
      </c>
      <c r="R96" s="182">
        <f t="shared" si="147"/>
        <v>33.65</v>
      </c>
      <c r="U96" s="184">
        <f t="shared" si="149"/>
        <v>54.329999999999949</v>
      </c>
      <c r="V96" s="201">
        <f>IF(H95="AFIII",VLOOKUP(D96,Sheet1!$A$4:$H$18,5,FALSE),IF(H95="UBIII",VLOOKUP(D96,Sheet1!$A$4:$H$18,8,FALSE),IF(H95="",VLOOKUP(D96,Sheet1!$A$4:$H$18,2,FALSE),"0")))</f>
        <v>1768</v>
      </c>
      <c r="W96" s="201">
        <f t="shared" si="150"/>
        <v>0</v>
      </c>
      <c r="X96" s="208">
        <f t="shared" si="151"/>
        <v>7381</v>
      </c>
      <c r="Y96" s="171" t="str">
        <f t="shared" si="152"/>
        <v>SUCCESS</v>
      </c>
      <c r="Z96" s="171" t="str">
        <f t="shared" si="153"/>
        <v>SUCCESS</v>
      </c>
      <c r="AA96" s="185">
        <f t="shared" si="110"/>
        <v>160.33524367647678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324</v>
      </c>
      <c r="B97" s="113">
        <f t="shared" si="142"/>
        <v>37533</v>
      </c>
      <c r="C97" s="118">
        <f t="shared" si="143"/>
        <v>234.46000000000018</v>
      </c>
      <c r="D97" s="181" t="s">
        <v>1</v>
      </c>
      <c r="E97" s="182">
        <f>IF(H96="AFIII",VLOOKUP($D97,Sheet1!$A$34:$K$48,5,FALSE),IF(H96="UBIII",VLOOKUP($D97,Sheet1!$A$34:$K$48,8,FALSE),VLOOKUP($D97,Sheet1!$A$34:$K$48,2,FALSE)))</f>
        <v>2.39</v>
      </c>
      <c r="F97" s="182">
        <f>ROUNDDOWN((IF(H96="AFIII",VLOOKUP($D97,Sheet1!$A$34:$K$48,5,FALSE),IF(H96="UBIII",VLOOKUP($D97,Sheet1!$A$34:$K$48,8,FALSE),VLOOKUP($D97,Sheet1!$A$34:$K$48,2,FALSE))))*0.85,2)</f>
        <v>2.0299999999999998</v>
      </c>
      <c r="G97" s="182">
        <f t="shared" si="144"/>
        <v>2.39</v>
      </c>
      <c r="H97" s="183" t="s">
        <v>84</v>
      </c>
      <c r="I97" s="182">
        <v>10</v>
      </c>
      <c r="K97" s="182">
        <f t="shared" si="154"/>
        <v>14.5</v>
      </c>
      <c r="L97" s="182">
        <f t="shared" si="145"/>
        <v>26.4</v>
      </c>
      <c r="O97" s="182">
        <f t="shared" si="146"/>
        <v>148.82999999999996</v>
      </c>
      <c r="R97" s="182">
        <f t="shared" si="147"/>
        <v>31.259999999999998</v>
      </c>
      <c r="U97" s="184">
        <f t="shared" si="149"/>
        <v>51.939999999999948</v>
      </c>
      <c r="V97" s="201">
        <f>IF(H96="AFIII",VLOOKUP(D97,Sheet1!$A$4:$H$18,5,FALSE),IF(H96="UBIII",VLOOKUP(D97,Sheet1!$A$4:$H$18,8,FALSE),IF(H96="",VLOOKUP(D97,Sheet1!$A$4:$H$18,2,FALSE),"0")))</f>
        <v>2120</v>
      </c>
      <c r="W97" s="201">
        <f t="shared" si="150"/>
        <v>0</v>
      </c>
      <c r="X97" s="208">
        <f t="shared" si="151"/>
        <v>5261</v>
      </c>
      <c r="Y97" s="171" t="str">
        <f t="shared" si="152"/>
        <v>SUCCESS</v>
      </c>
      <c r="Z97" s="171" t="str">
        <f t="shared" si="153"/>
        <v>SUCCESS</v>
      </c>
      <c r="AA97" s="185">
        <f t="shared" si="110"/>
        <v>160.08274332508731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504</v>
      </c>
      <c r="B98" s="113">
        <f t="shared" si="142"/>
        <v>38037</v>
      </c>
      <c r="C98" s="118">
        <f t="shared" si="143"/>
        <v>237.32000000000019</v>
      </c>
      <c r="D98" s="181" t="s">
        <v>6</v>
      </c>
      <c r="E98" s="182">
        <f>IF(H97="AFIII",VLOOKUP($D98,Sheet1!$A$34:$K$48,5,FALSE),IF(H97="UBIII",VLOOKUP($D98,Sheet1!$A$34:$K$48,8,FALSE),VLOOKUP($D98,Sheet1!$A$34:$K$48,2,FALSE)))</f>
        <v>2.86</v>
      </c>
      <c r="F98" s="182">
        <f>ROUNDDOWN((IF(H97="AFIII",VLOOKUP($D98,Sheet1!$A$34:$K$48,5,FALSE),IF(H97="UBIII",VLOOKUP($D98,Sheet1!$A$34:$K$48,8,FALSE),VLOOKUP($D98,Sheet1!$A$34:$K$48,2,FALSE))))*0.85,2)</f>
        <v>2.4300000000000002</v>
      </c>
      <c r="G98" s="182">
        <f t="shared" si="144"/>
        <v>2.86</v>
      </c>
      <c r="H98" s="183" t="s">
        <v>84</v>
      </c>
      <c r="I98" s="182">
        <f>I97-G98</f>
        <v>7.1400000000000006</v>
      </c>
      <c r="K98" s="182">
        <f t="shared" si="154"/>
        <v>11.64</v>
      </c>
      <c r="L98" s="182">
        <f t="shared" si="145"/>
        <v>23.54</v>
      </c>
      <c r="O98" s="182">
        <f t="shared" si="146"/>
        <v>145.96999999999994</v>
      </c>
      <c r="R98" s="182">
        <f t="shared" si="147"/>
        <v>28.4</v>
      </c>
      <c r="U98" s="184">
        <f t="shared" si="149"/>
        <v>49.079999999999949</v>
      </c>
      <c r="V98" s="201">
        <f>IF(H97="AFIII",VLOOKUP(D98,Sheet1!$A$4:$H$18,5,FALSE),IF(H97="UBIII",VLOOKUP(D98,Sheet1!$A$4:$H$18,8,FALSE),IF(H97="",VLOOKUP(D98,Sheet1!$A$4:$H$18,2,FALSE),"0")))</f>
        <v>1768</v>
      </c>
      <c r="W98" s="201">
        <f t="shared" si="150"/>
        <v>0</v>
      </c>
      <c r="X98" s="208">
        <f t="shared" si="151"/>
        <v>3493</v>
      </c>
      <c r="Y98" s="171" t="str">
        <f t="shared" si="152"/>
        <v>SUCCESS</v>
      </c>
      <c r="Z98" s="171" t="str">
        <f t="shared" si="153"/>
        <v>SUCCESS</v>
      </c>
      <c r="AA98" s="185">
        <f t="shared" si="110"/>
        <v>160.27726276757107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504</v>
      </c>
      <c r="B99" s="113">
        <f t="shared" si="142"/>
        <v>38541</v>
      </c>
      <c r="C99" s="118">
        <f t="shared" si="143"/>
        <v>240.18000000000021</v>
      </c>
      <c r="D99" s="181" t="s">
        <v>6</v>
      </c>
      <c r="E99" s="182">
        <f>IF(H98="AFIII",VLOOKUP($D99,Sheet1!$A$34:$K$48,5,FALSE),IF(H98="UBIII",VLOOKUP($D99,Sheet1!$A$34:$K$48,8,FALSE),VLOOKUP($D99,Sheet1!$A$34:$K$48,2,FALSE)))</f>
        <v>2.86</v>
      </c>
      <c r="F99" s="182">
        <f>ROUNDDOWN((IF(H98="AFIII",VLOOKUP($D99,Sheet1!$A$34:$K$48,5,FALSE),IF(H98="UBIII",VLOOKUP($D99,Sheet1!$A$34:$K$48,8,FALSE),VLOOKUP($D99,Sheet1!$A$34:$K$48,2,FALSE))))*0.85,2)</f>
        <v>2.4300000000000002</v>
      </c>
      <c r="G99" s="182">
        <f t="shared" si="144"/>
        <v>2.86</v>
      </c>
      <c r="H99" s="183" t="s">
        <v>84</v>
      </c>
      <c r="I99" s="182">
        <f>I98-G99</f>
        <v>4.2800000000000011</v>
      </c>
      <c r="K99" s="182">
        <f t="shared" si="154"/>
        <v>8.7800000000000011</v>
      </c>
      <c r="L99" s="182">
        <f t="shared" si="145"/>
        <v>20.68</v>
      </c>
      <c r="O99" s="182">
        <f t="shared" si="146"/>
        <v>143.10999999999993</v>
      </c>
      <c r="R99" s="182">
        <f t="shared" si="147"/>
        <v>25.54</v>
      </c>
      <c r="U99" s="184">
        <f t="shared" si="149"/>
        <v>46.219999999999949</v>
      </c>
      <c r="V99" s="201">
        <f>IF(H98="AFIII",VLOOKUP(D99,Sheet1!$A$4:$H$18,5,FALSE),IF(H98="UBIII",VLOOKUP(D99,Sheet1!$A$4:$H$18,8,FALSE),IF(H98="",VLOOKUP(D99,Sheet1!$A$4:$H$18,2,FALSE),"0")))</f>
        <v>1768</v>
      </c>
      <c r="W99" s="201">
        <f t="shared" si="150"/>
        <v>0</v>
      </c>
      <c r="X99" s="208">
        <f t="shared" si="151"/>
        <v>1725</v>
      </c>
      <c r="Y99" s="171" t="str">
        <f t="shared" si="152"/>
        <v>SUCCESS</v>
      </c>
      <c r="Z99" s="171" t="str">
        <f t="shared" si="153"/>
        <v>SUCCESS</v>
      </c>
      <c r="AA99" s="185">
        <f t="shared" si="110"/>
        <v>160.46714963777154</v>
      </c>
    </row>
    <row r="100" spans="1:27">
      <c r="A100" s="112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168</v>
      </c>
      <c r="B100" s="113">
        <f t="shared" si="142"/>
        <v>38709</v>
      </c>
      <c r="C100" s="118">
        <f t="shared" si="143"/>
        <v>242.57000000000019</v>
      </c>
      <c r="D100" s="181" t="s">
        <v>12</v>
      </c>
      <c r="E100" s="182">
        <f>IF(H99="AFIII",VLOOKUP($D100,Sheet1!$A$34:$K$48,5,FALSE),IF(H99="UBIII",VLOOKUP($D100,Sheet1!$A$34:$K$48,8,FALSE),VLOOKUP($D100,Sheet1!$A$34:$K$48,2,FALSE)))</f>
        <v>1.67</v>
      </c>
      <c r="F100" s="182">
        <f>ROUNDDOWN((IF(H99="AFIII",VLOOKUP($D100,Sheet1!$A$34:$K$48,5,FALSE),IF(H99="UBIII",VLOOKUP($D100,Sheet1!$A$34:$K$48,8,FALSE),VLOOKUP($D100,Sheet1!$A$34:$K$48,2,FALSE))))*0.85,2)</f>
        <v>1.41</v>
      </c>
      <c r="G100" s="182">
        <f t="shared" si="144"/>
        <v>2.39</v>
      </c>
      <c r="H100" s="183" t="s">
        <v>122</v>
      </c>
      <c r="I100" s="182">
        <v>10</v>
      </c>
      <c r="K100" s="182">
        <f t="shared" si="154"/>
        <v>6.3900000000000006</v>
      </c>
      <c r="L100" s="182">
        <f t="shared" si="145"/>
        <v>18.29</v>
      </c>
      <c r="O100" s="182">
        <f t="shared" si="146"/>
        <v>140.71999999999994</v>
      </c>
      <c r="R100" s="182">
        <f t="shared" si="147"/>
        <v>23.15</v>
      </c>
      <c r="U100" s="184">
        <f t="shared" si="149"/>
        <v>43.829999999999949</v>
      </c>
      <c r="V100" s="201">
        <f>IF(H99="AFIII",VLOOKUP(D100,Sheet1!$A$4:$H$18,5,FALSE),IF(H99="UBIII",VLOOKUP(D100,Sheet1!$A$4:$H$18,8,FALSE),IF(H99="",VLOOKUP(D100,Sheet1!$A$4:$H$18,2,FALSE),"0")))</f>
        <v>265</v>
      </c>
      <c r="W100" s="201">
        <f t="shared" si="150"/>
        <v>0</v>
      </c>
      <c r="X100" s="208">
        <f t="shared" si="151"/>
        <v>1460</v>
      </c>
      <c r="Y100" s="171" t="str">
        <f t="shared" si="152"/>
        <v>SUCCESS</v>
      </c>
      <c r="Z100" s="171" t="str">
        <f t="shared" si="153"/>
        <v>SUCCESS</v>
      </c>
      <c r="AA100" s="185">
        <f t="shared" si="110"/>
        <v>159.57867831966018</v>
      </c>
    </row>
    <row r="101" spans="1:27">
      <c r="A101" s="119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280</v>
      </c>
      <c r="B101" s="120">
        <f t="shared" si="142"/>
        <v>38989</v>
      </c>
      <c r="C101" s="121">
        <f t="shared" si="143"/>
        <v>245.43000000000021</v>
      </c>
      <c r="D101" s="191" t="s">
        <v>14</v>
      </c>
      <c r="E101" s="192">
        <f>IF(H100="AFIII",VLOOKUP($D101,Sheet1!$A$34:$K$48,5,FALSE),IF(H100="UBIII",VLOOKUP($D101,Sheet1!$A$34:$K$48,8,FALSE),VLOOKUP($D101,Sheet1!$A$34:$K$48,2,FALSE)))</f>
        <v>2.86</v>
      </c>
      <c r="F101" s="192">
        <f>ROUNDDOWN((IF(H100="AFIII",VLOOKUP($D101,Sheet1!$A$34:$K$48,5,FALSE),IF(H100="UBIII",VLOOKUP($D101,Sheet1!$A$34:$K$48,8,FALSE),VLOOKUP($D101,Sheet1!$A$34:$K$48,2,FALSE))))*0.85,2)</f>
        <v>2.4300000000000002</v>
      </c>
      <c r="G101" s="192">
        <f t="shared" si="144"/>
        <v>2.86</v>
      </c>
      <c r="H101" s="193" t="s">
        <v>122</v>
      </c>
      <c r="I101" s="192">
        <f>I100-G101</f>
        <v>7.1400000000000006</v>
      </c>
      <c r="J101" s="193"/>
      <c r="K101" s="192">
        <v>20</v>
      </c>
      <c r="L101" s="192">
        <f t="shared" si="145"/>
        <v>15.43</v>
      </c>
      <c r="M101" s="193"/>
      <c r="N101" s="192"/>
      <c r="O101" s="192">
        <f t="shared" si="146"/>
        <v>137.85999999999993</v>
      </c>
      <c r="P101" s="193"/>
      <c r="Q101" s="192"/>
      <c r="R101" s="192">
        <f t="shared" si="147"/>
        <v>20.29</v>
      </c>
      <c r="S101" s="193"/>
      <c r="T101" s="192"/>
      <c r="U101" s="194">
        <f t="shared" si="149"/>
        <v>40.969999999999949</v>
      </c>
      <c r="V101" s="211">
        <f>IF(H100="AFIII",VLOOKUP(D101,Sheet1!$A$4:$H$18,5,FALSE),IF(H100="UBIII",VLOOKUP(D101,Sheet1!$A$4:$H$18,8,FALSE),IF(H100="",VLOOKUP(D101,Sheet1!$A$4:$H$18,2,FALSE),"0")))</f>
        <v>884</v>
      </c>
      <c r="W101" s="211">
        <f t="shared" si="150"/>
        <v>7033</v>
      </c>
      <c r="X101" s="212">
        <f t="shared" si="151"/>
        <v>7609</v>
      </c>
      <c r="Y101" s="195" t="str">
        <f t="shared" si="152"/>
        <v>SUCCESS</v>
      </c>
      <c r="Z101" s="195" t="str">
        <f t="shared" si="153"/>
        <v>SUCCESS</v>
      </c>
      <c r="AA101" s="185">
        <f t="shared" si="110"/>
        <v>158.85996007008094</v>
      </c>
    </row>
    <row r="102" spans="1:27">
      <c r="A102" s="112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168</v>
      </c>
      <c r="B102" s="113">
        <f t="shared" si="142"/>
        <v>39157</v>
      </c>
      <c r="C102" s="118">
        <f t="shared" si="143"/>
        <v>247.82000000000019</v>
      </c>
      <c r="D102" s="181" t="s">
        <v>3</v>
      </c>
      <c r="E102" s="182">
        <f>IF(H101="AFIII",VLOOKUP($D102,Sheet1!$A$34:$K$48,5,FALSE),IF(H101="UBIII",VLOOKUP($D102,Sheet1!$A$34:$K$48,8,FALSE),VLOOKUP($D102,Sheet1!$A$34:$K$48,2,FALSE)))</f>
        <v>1.67</v>
      </c>
      <c r="F102" s="182">
        <f>ROUNDDOWN((IF(H101="AFIII",VLOOKUP($D102,Sheet1!$A$34:$K$48,5,FALSE),IF(H101="UBIII",VLOOKUP($D102,Sheet1!$A$34:$K$48,8,FALSE),VLOOKUP($D102,Sheet1!$A$34:$K$48,2,FALSE))))*0.85,2)</f>
        <v>1.41</v>
      </c>
      <c r="G102" s="182">
        <f t="shared" si="144"/>
        <v>2.39</v>
      </c>
      <c r="H102" s="183" t="s">
        <v>84</v>
      </c>
      <c r="I102" s="182">
        <v>10</v>
      </c>
      <c r="K102" s="182">
        <f>K101-G102</f>
        <v>17.61</v>
      </c>
      <c r="L102" s="182">
        <f t="shared" si="145"/>
        <v>13.04</v>
      </c>
      <c r="O102" s="182">
        <f t="shared" si="146"/>
        <v>135.46999999999994</v>
      </c>
      <c r="R102" s="182">
        <f t="shared" si="147"/>
        <v>17.899999999999999</v>
      </c>
      <c r="U102" s="184">
        <f t="shared" si="149"/>
        <v>38.579999999999949</v>
      </c>
      <c r="V102" s="201">
        <f>IF(H101="AFIII",VLOOKUP(D102,Sheet1!$A$4:$H$18,5,FALSE),IF(H101="UBIII",VLOOKUP(D102,Sheet1!$A$4:$H$18,8,FALSE),IF(H101="",VLOOKUP(D102,Sheet1!$A$4:$H$18,2,FALSE),"0")))</f>
        <v>442</v>
      </c>
      <c r="W102" s="201">
        <f t="shared" si="150"/>
        <v>7033</v>
      </c>
      <c r="X102" s="208">
        <f t="shared" si="151"/>
        <v>10917</v>
      </c>
      <c r="Y102" s="171" t="str">
        <f t="shared" si="152"/>
        <v>SUCCESS</v>
      </c>
      <c r="Z102" s="171" t="str">
        <f t="shared" si="153"/>
        <v>SUCCESS</v>
      </c>
      <c r="AA102" s="185">
        <f t="shared" si="110"/>
        <v>158.00581066903385</v>
      </c>
    </row>
    <row r="103" spans="1:27">
      <c r="A103" s="112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504</v>
      </c>
      <c r="B103" s="113">
        <f t="shared" si="142"/>
        <v>39661</v>
      </c>
      <c r="C103" s="118">
        <f t="shared" si="143"/>
        <v>250.68000000000021</v>
      </c>
      <c r="D103" s="181" t="s">
        <v>5</v>
      </c>
      <c r="E103" s="182">
        <f>IF(H102="AFIII",VLOOKUP($D103,Sheet1!$A$34:$K$48,5,FALSE),IF(H102="UBIII",VLOOKUP($D103,Sheet1!$A$34:$K$48,8,FALSE),VLOOKUP($D103,Sheet1!$A$34:$K$48,2,FALSE)))</f>
        <v>2.86</v>
      </c>
      <c r="F103" s="182">
        <f>ROUNDDOWN((IF(H102="AFIII",VLOOKUP($D103,Sheet1!$A$34:$K$48,5,FALSE),IF(H102="UBIII",VLOOKUP($D103,Sheet1!$A$34:$K$48,8,FALSE),VLOOKUP($D103,Sheet1!$A$34:$K$48,2,FALSE))))*0.85,2)</f>
        <v>2.4300000000000002</v>
      </c>
      <c r="G103" s="182">
        <f t="shared" si="144"/>
        <v>2.86</v>
      </c>
      <c r="H103" s="183" t="s">
        <v>84</v>
      </c>
      <c r="I103" s="182">
        <f>I102-G103</f>
        <v>7.1400000000000006</v>
      </c>
      <c r="K103" s="182">
        <f t="shared" ref="K103:K109" si="155">K102-G103</f>
        <v>14.75</v>
      </c>
      <c r="L103" s="182">
        <f t="shared" si="145"/>
        <v>10.18</v>
      </c>
      <c r="O103" s="182">
        <f t="shared" si="146"/>
        <v>132.60999999999993</v>
      </c>
      <c r="R103" s="182">
        <f t="shared" si="147"/>
        <v>15.04</v>
      </c>
      <c r="U103" s="184">
        <f t="shared" si="149"/>
        <v>35.719999999999949</v>
      </c>
      <c r="V103" s="201">
        <f>IF(H102="AFIII",VLOOKUP(D103,Sheet1!$A$4:$H$18,5,FALSE),IF(H102="UBIII",VLOOKUP(D103,Sheet1!$A$4:$H$18,8,FALSE),IF(H102="",VLOOKUP(D103,Sheet1!$A$4:$H$18,2,FALSE),"0")))</f>
        <v>1768</v>
      </c>
      <c r="W103" s="201">
        <f t="shared" si="150"/>
        <v>0</v>
      </c>
      <c r="X103" s="208">
        <f t="shared" si="151"/>
        <v>9149</v>
      </c>
      <c r="Y103" s="171" t="str">
        <f t="shared" si="152"/>
        <v>SUCCESS</v>
      </c>
      <c r="Z103" s="171" t="str">
        <f t="shared" si="153"/>
        <v>SUCCESS</v>
      </c>
      <c r="AA103" s="185">
        <f t="shared" si="110"/>
        <v>158.21365884793349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504</v>
      </c>
      <c r="B104" s="113">
        <f t="shared" si="142"/>
        <v>40165</v>
      </c>
      <c r="C104" s="118">
        <f t="shared" si="143"/>
        <v>253.54000000000022</v>
      </c>
      <c r="D104" s="181" t="s">
        <v>5</v>
      </c>
      <c r="E104" s="182">
        <f>IF(H103="AFIII",VLOOKUP($D104,Sheet1!$A$34:$K$48,5,FALSE),IF(H103="UBIII",VLOOKUP($D104,Sheet1!$A$34:$K$48,8,FALSE),VLOOKUP($D104,Sheet1!$A$34:$K$48,2,FALSE)))</f>
        <v>2.86</v>
      </c>
      <c r="F104" s="182">
        <f>ROUNDDOWN((IF(H103="AFIII",VLOOKUP($D104,Sheet1!$A$34:$K$48,5,FALSE),IF(H103="UBIII",VLOOKUP($D104,Sheet1!$A$34:$K$48,8,FALSE),VLOOKUP($D104,Sheet1!$A$34:$K$48,2,FALSE))))*0.85,2)</f>
        <v>2.4300000000000002</v>
      </c>
      <c r="G104" s="182">
        <f t="shared" si="144"/>
        <v>2.86</v>
      </c>
      <c r="H104" s="183" t="s">
        <v>84</v>
      </c>
      <c r="I104" s="182">
        <f t="shared" ref="I104" si="156">I103-G104</f>
        <v>4.2800000000000011</v>
      </c>
      <c r="K104" s="182">
        <f t="shared" si="155"/>
        <v>11.89</v>
      </c>
      <c r="L104" s="182">
        <f t="shared" si="145"/>
        <v>7.32</v>
      </c>
      <c r="O104" s="182">
        <f t="shared" si="146"/>
        <v>129.74999999999991</v>
      </c>
      <c r="R104" s="182">
        <f t="shared" si="147"/>
        <v>12.18</v>
      </c>
      <c r="U104" s="184">
        <f t="shared" si="149"/>
        <v>32.85999999999995</v>
      </c>
      <c r="V104" s="201">
        <f>IF(H103="AFIII",VLOOKUP(D104,Sheet1!$A$4:$H$18,5,FALSE),IF(H103="UBIII",VLOOKUP(D104,Sheet1!$A$4:$H$18,8,FALSE),IF(H103="",VLOOKUP(D104,Sheet1!$A$4:$H$18,2,FALSE),"0")))</f>
        <v>1768</v>
      </c>
      <c r="W104" s="201">
        <f t="shared" si="150"/>
        <v>0</v>
      </c>
      <c r="X104" s="208">
        <f t="shared" si="151"/>
        <v>7381</v>
      </c>
      <c r="Y104" s="171" t="str">
        <f t="shared" si="152"/>
        <v>SUCCESS</v>
      </c>
      <c r="Z104" s="171" t="str">
        <f t="shared" si="153"/>
        <v>SUCCESS</v>
      </c>
      <c r="AA104" s="185">
        <f t="shared" si="110"/>
        <v>158.41681785911479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324</v>
      </c>
      <c r="B105" s="113">
        <f t="shared" si="142"/>
        <v>40489</v>
      </c>
      <c r="C105" s="118">
        <f t="shared" si="143"/>
        <v>255.93000000000021</v>
      </c>
      <c r="D105" s="181" t="s">
        <v>1</v>
      </c>
      <c r="E105" s="182">
        <f>IF(H104="AFIII",VLOOKUP($D105,Sheet1!$A$34:$K$48,5,FALSE),IF(H104="UBIII",VLOOKUP($D105,Sheet1!$A$34:$K$48,8,FALSE),VLOOKUP($D105,Sheet1!$A$34:$K$48,2,FALSE)))</f>
        <v>2.39</v>
      </c>
      <c r="F105" s="182">
        <f>ROUNDDOWN((IF(H104="AFIII",VLOOKUP($D105,Sheet1!$A$34:$K$48,5,FALSE),IF(H104="UBIII",VLOOKUP($D105,Sheet1!$A$34:$K$48,8,FALSE),VLOOKUP($D105,Sheet1!$A$34:$K$48,2,FALSE))))*0.85,2)</f>
        <v>2.0299999999999998</v>
      </c>
      <c r="G105" s="182">
        <f t="shared" si="144"/>
        <v>2.39</v>
      </c>
      <c r="H105" s="183" t="s">
        <v>84</v>
      </c>
      <c r="I105" s="182">
        <v>10</v>
      </c>
      <c r="K105" s="182">
        <f t="shared" si="155"/>
        <v>9.5</v>
      </c>
      <c r="L105" s="182">
        <f t="shared" si="145"/>
        <v>4.93</v>
      </c>
      <c r="O105" s="182">
        <f t="shared" si="146"/>
        <v>127.35999999999991</v>
      </c>
      <c r="R105" s="182">
        <f>R104-G105</f>
        <v>9.7899999999999991</v>
      </c>
      <c r="U105" s="184">
        <f t="shared" si="149"/>
        <v>30.469999999999949</v>
      </c>
      <c r="V105" s="201">
        <f>IF(H104="AFIII",VLOOKUP(D105,Sheet1!$A$4:$H$18,5,FALSE),IF(H104="UBIII",VLOOKUP(D105,Sheet1!$A$4:$H$18,8,FALSE),IF(H104="",VLOOKUP(D105,Sheet1!$A$4:$H$18,2,FALSE),"0")))</f>
        <v>2120</v>
      </c>
      <c r="W105" s="201">
        <f t="shared" si="150"/>
        <v>0</v>
      </c>
      <c r="X105" s="208">
        <f t="shared" si="151"/>
        <v>5261</v>
      </c>
      <c r="Y105" s="171" t="str">
        <f t="shared" si="152"/>
        <v>SUCCESS</v>
      </c>
      <c r="Z105" s="171" t="str">
        <f t="shared" si="153"/>
        <v>SUCCESS</v>
      </c>
      <c r="AA105" s="185">
        <f t="shared" si="110"/>
        <v>158.20341499628793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504</v>
      </c>
      <c r="B106" s="113">
        <f t="shared" si="142"/>
        <v>40993</v>
      </c>
      <c r="C106" s="118">
        <f t="shared" si="143"/>
        <v>258.79000000000019</v>
      </c>
      <c r="D106" s="181" t="s">
        <v>6</v>
      </c>
      <c r="E106" s="182">
        <f>IF(H105="AFIII",VLOOKUP($D106,Sheet1!$A$34:$K$48,5,FALSE),IF(H105="UBIII",VLOOKUP($D106,Sheet1!$A$34:$K$48,8,FALSE),VLOOKUP($D106,Sheet1!$A$34:$K$48,2,FALSE)))</f>
        <v>2.86</v>
      </c>
      <c r="F106" s="182">
        <f>ROUNDDOWN((IF(H105="AFIII",VLOOKUP($D106,Sheet1!$A$34:$K$48,5,FALSE),IF(H105="UBIII",VLOOKUP($D106,Sheet1!$A$34:$K$48,8,FALSE),VLOOKUP($D106,Sheet1!$A$34:$K$48,2,FALSE))))*0.85,2)</f>
        <v>2.4300000000000002</v>
      </c>
      <c r="G106" s="182">
        <f t="shared" si="144"/>
        <v>2.86</v>
      </c>
      <c r="H106" s="183" t="s">
        <v>84</v>
      </c>
      <c r="I106" s="182">
        <f>I105-G106</f>
        <v>7.1400000000000006</v>
      </c>
      <c r="K106" s="182">
        <f t="shared" si="155"/>
        <v>6.6400000000000006</v>
      </c>
      <c r="L106" s="182">
        <f t="shared" si="145"/>
        <v>2.0699999999999998</v>
      </c>
      <c r="O106" s="182">
        <f t="shared" si="146"/>
        <v>124.49999999999991</v>
      </c>
      <c r="R106" s="182">
        <f t="shared" ref="R106:R109" si="157">R105-G106</f>
        <v>6.93</v>
      </c>
      <c r="U106" s="184">
        <f t="shared" si="149"/>
        <v>27.60999999999995</v>
      </c>
      <c r="V106" s="201">
        <f>IF(H105="AFIII",VLOOKUP(D106,Sheet1!$A$4:$H$18,5,FALSE),IF(H105="UBIII",VLOOKUP(D106,Sheet1!$A$4:$H$18,8,FALSE),IF(H105="",VLOOKUP(D106,Sheet1!$A$4:$H$18,2,FALSE),"0")))</f>
        <v>1768</v>
      </c>
      <c r="W106" s="201">
        <f t="shared" si="150"/>
        <v>0</v>
      </c>
      <c r="X106" s="208">
        <f t="shared" si="151"/>
        <v>3493</v>
      </c>
      <c r="Y106" s="171" t="str">
        <f t="shared" si="152"/>
        <v>SUCCESS</v>
      </c>
      <c r="Z106" s="171" t="str">
        <f t="shared" si="153"/>
        <v>SUCCESS</v>
      </c>
      <c r="AA106" s="185">
        <f t="shared" si="110"/>
        <v>158.40256578693138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504</v>
      </c>
      <c r="B107" s="113">
        <f t="shared" si="142"/>
        <v>41497</v>
      </c>
      <c r="C107" s="118">
        <f t="shared" si="143"/>
        <v>261.6500000000002</v>
      </c>
      <c r="D107" s="181" t="s">
        <v>6</v>
      </c>
      <c r="E107" s="182">
        <f>IF(H106="AFIII",VLOOKUP($D107,Sheet1!$A$34:$K$48,5,FALSE),IF(H106="UBIII",VLOOKUP($D107,Sheet1!$A$34:$K$48,8,FALSE),VLOOKUP($D107,Sheet1!$A$34:$K$48,2,FALSE)))</f>
        <v>2.86</v>
      </c>
      <c r="F107" s="182">
        <f>ROUNDDOWN((IF(H106="AFIII",VLOOKUP($D107,Sheet1!$A$34:$K$48,5,FALSE),IF(H106="UBIII",VLOOKUP($D107,Sheet1!$A$34:$K$48,8,FALSE),VLOOKUP($D107,Sheet1!$A$34:$K$48,2,FALSE))))*0.85,2)</f>
        <v>2.4300000000000002</v>
      </c>
      <c r="G107" s="182">
        <f t="shared" si="144"/>
        <v>2.86</v>
      </c>
      <c r="H107" s="183" t="s">
        <v>84</v>
      </c>
      <c r="I107" s="182">
        <f>I106-G107</f>
        <v>4.2800000000000011</v>
      </c>
      <c r="K107" s="182">
        <f t="shared" si="155"/>
        <v>3.7800000000000007</v>
      </c>
      <c r="L107" s="182">
        <f t="shared" si="145"/>
        <v>-0.79</v>
      </c>
      <c r="O107" s="182">
        <f t="shared" si="146"/>
        <v>121.63999999999992</v>
      </c>
      <c r="R107" s="182">
        <f t="shared" si="157"/>
        <v>4.07</v>
      </c>
      <c r="U107" s="184">
        <f t="shared" si="149"/>
        <v>24.74999999999995</v>
      </c>
      <c r="V107" s="201">
        <f>IF(H106="AFIII",VLOOKUP(D107,Sheet1!$A$4:$H$18,5,FALSE),IF(H106="UBIII",VLOOKUP(D107,Sheet1!$A$4:$H$18,8,FALSE),IF(H106="",VLOOKUP(D107,Sheet1!$A$4:$H$18,2,FALSE),"0")))</f>
        <v>1768</v>
      </c>
      <c r="W107" s="201">
        <f t="shared" si="150"/>
        <v>0</v>
      </c>
      <c r="X107" s="208">
        <f t="shared" si="151"/>
        <v>1725</v>
      </c>
      <c r="Y107" s="171" t="str">
        <f t="shared" si="152"/>
        <v>SUCCESS</v>
      </c>
      <c r="Z107" s="171" t="str">
        <f t="shared" si="153"/>
        <v>SUCCESS</v>
      </c>
      <c r="AA107" s="185">
        <f t="shared" si="110"/>
        <v>158.59736288935588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168</v>
      </c>
      <c r="B108" s="113">
        <f t="shared" si="142"/>
        <v>41665</v>
      </c>
      <c r="C108" s="118">
        <f t="shared" si="143"/>
        <v>264.04000000000019</v>
      </c>
      <c r="D108" s="181" t="s">
        <v>12</v>
      </c>
      <c r="E108" s="182">
        <f>IF(H107="AFIII",VLOOKUP($D108,Sheet1!$A$34:$K$48,5,FALSE),IF(H107="UBIII",VLOOKUP($D108,Sheet1!$A$34:$K$48,8,FALSE),VLOOKUP($D108,Sheet1!$A$34:$K$48,2,FALSE)))</f>
        <v>1.67</v>
      </c>
      <c r="F108" s="182">
        <f>ROUNDDOWN((IF(H107="AFIII",VLOOKUP($D108,Sheet1!$A$34:$K$48,5,FALSE),IF(H107="UBIII",VLOOKUP($D108,Sheet1!$A$34:$K$48,8,FALSE),VLOOKUP($D108,Sheet1!$A$34:$K$48,2,FALSE))))*0.85,2)</f>
        <v>1.41</v>
      </c>
      <c r="G108" s="182">
        <f t="shared" si="144"/>
        <v>2.39</v>
      </c>
      <c r="H108" s="183" t="s">
        <v>122</v>
      </c>
      <c r="I108" s="182">
        <v>10</v>
      </c>
      <c r="K108" s="182">
        <f t="shared" si="155"/>
        <v>1.3900000000000006</v>
      </c>
      <c r="L108" s="182">
        <f t="shared" si="145"/>
        <v>-3.18</v>
      </c>
      <c r="O108" s="182">
        <f t="shared" si="146"/>
        <v>119.24999999999991</v>
      </c>
      <c r="R108" s="182">
        <f t="shared" si="157"/>
        <v>1.6800000000000002</v>
      </c>
      <c r="U108" s="184">
        <f t="shared" si="149"/>
        <v>22.35999999999995</v>
      </c>
      <c r="V108" s="201">
        <f>IF(H107="AFIII",VLOOKUP(D108,Sheet1!$A$4:$H$18,5,FALSE),IF(H107="UBIII",VLOOKUP(D108,Sheet1!$A$4:$H$18,8,FALSE),IF(H107="",VLOOKUP(D108,Sheet1!$A$4:$H$18,2,FALSE),"0")))</f>
        <v>265</v>
      </c>
      <c r="W108" s="201">
        <f t="shared" si="150"/>
        <v>0</v>
      </c>
      <c r="X108" s="208">
        <f t="shared" si="151"/>
        <v>1460</v>
      </c>
      <c r="Y108" s="171" t="str">
        <f t="shared" si="152"/>
        <v>SUCCESS</v>
      </c>
      <c r="Z108" s="171" t="str">
        <f t="shared" si="153"/>
        <v>SUCCESS</v>
      </c>
      <c r="AA108" s="185">
        <f t="shared" si="110"/>
        <v>157.79806089986354</v>
      </c>
    </row>
    <row r="109" spans="1:27">
      <c r="A109" s="122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295</v>
      </c>
      <c r="B109" s="123">
        <f t="shared" si="142"/>
        <v>41960</v>
      </c>
      <c r="C109" s="124">
        <f t="shared" si="143"/>
        <v>266.9000000000002</v>
      </c>
      <c r="D109" s="186" t="s">
        <v>19</v>
      </c>
      <c r="E109" s="187">
        <f>IF(H108="AFIII",VLOOKUP($D109,Sheet1!$A$34:$K$48,5,FALSE),IF(H108="UBIII",VLOOKUP($D109,Sheet1!$A$34:$K$48,8,FALSE),VLOOKUP($D109,Sheet1!$A$34:$K$48,2,FALSE)))</f>
        <v>2.86</v>
      </c>
      <c r="F109" s="187">
        <f>ROUNDDOWN((IF(H108="AFIII",VLOOKUP($D109,Sheet1!$A$34:$K$48,5,FALSE),IF(H108="UBIII",VLOOKUP($D109,Sheet1!$A$34:$K$48,8,FALSE),VLOOKUP($D109,Sheet1!$A$34:$K$48,2,FALSE))))*0.85,2)</f>
        <v>2.4300000000000002</v>
      </c>
      <c r="G109" s="187">
        <f t="shared" si="144"/>
        <v>2.86</v>
      </c>
      <c r="H109" s="188" t="s">
        <v>122</v>
      </c>
      <c r="I109" s="187">
        <f>I108-G109</f>
        <v>7.1400000000000006</v>
      </c>
      <c r="J109" s="188"/>
      <c r="K109" s="187">
        <f t="shared" si="155"/>
        <v>-1.4699999999999993</v>
      </c>
      <c r="L109" s="187">
        <f t="shared" si="145"/>
        <v>-6.04</v>
      </c>
      <c r="M109" s="188"/>
      <c r="N109" s="187"/>
      <c r="O109" s="187">
        <f t="shared" si="146"/>
        <v>116.38999999999992</v>
      </c>
      <c r="P109" s="188" t="s">
        <v>17</v>
      </c>
      <c r="Q109" s="187">
        <v>21</v>
      </c>
      <c r="R109" s="187">
        <f t="shared" si="157"/>
        <v>-1.1799999999999997</v>
      </c>
      <c r="S109" s="188"/>
      <c r="T109" s="187"/>
      <c r="U109" s="189">
        <f t="shared" si="149"/>
        <v>19.49999999999995</v>
      </c>
      <c r="V109" s="209">
        <f>IF(H108="AFIII",VLOOKUP(D109,Sheet1!$A$4:$H$18,5,FALSE),IF(H108="UBIII",VLOOKUP(D109,Sheet1!$A$4:$H$18,8,FALSE),IF(H108="",VLOOKUP(D109,Sheet1!$A$4:$H$18,2,FALSE),"0")))</f>
        <v>1060</v>
      </c>
      <c r="W109" s="209">
        <f t="shared" si="150"/>
        <v>7033</v>
      </c>
      <c r="X109" s="210">
        <f t="shared" si="151"/>
        <v>7433</v>
      </c>
      <c r="Y109" s="190" t="str">
        <f t="shared" si="152"/>
        <v>SUCCESS</v>
      </c>
      <c r="Z109" s="190" t="str">
        <f t="shared" si="153"/>
        <v>ERROR</v>
      </c>
      <c r="AA109" s="185">
        <f t="shared" si="110"/>
        <v>157.21243911577358</v>
      </c>
    </row>
    <row r="110" spans="1:27">
      <c r="A110" s="112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168</v>
      </c>
      <c r="B110" s="113">
        <f t="shared" si="142"/>
        <v>42128</v>
      </c>
      <c r="C110" s="118">
        <f t="shared" si="143"/>
        <v>269.29000000000019</v>
      </c>
      <c r="D110" s="181" t="s">
        <v>4</v>
      </c>
      <c r="E110" s="182">
        <f>IF(H109="AFIII",VLOOKUP($D110,Sheet1!$A$34:$K$48,5,FALSE),IF(H109="UBIII",VLOOKUP($D110,Sheet1!$A$34:$K$48,8,FALSE),VLOOKUP($D110,Sheet1!$A$34:$K$48,2,FALSE)))</f>
        <v>1.67</v>
      </c>
      <c r="F110" s="182">
        <f>ROUNDDOWN((IF(H109="AFIII",VLOOKUP($D110,Sheet1!$A$34:$K$48,5,FALSE),IF(H109="UBIII",VLOOKUP($D110,Sheet1!$A$34:$K$48,8,FALSE),VLOOKUP($D110,Sheet1!$A$34:$K$48,2,FALSE))))*0.85,2)</f>
        <v>1.41</v>
      </c>
      <c r="G110" s="182">
        <f t="shared" si="144"/>
        <v>2.39</v>
      </c>
      <c r="H110" s="183" t="s">
        <v>84</v>
      </c>
      <c r="I110" s="182">
        <v>10</v>
      </c>
      <c r="J110" s="183" t="s">
        <v>105</v>
      </c>
      <c r="K110" s="182">
        <v>30</v>
      </c>
      <c r="L110" s="182">
        <v>60</v>
      </c>
      <c r="O110" s="182">
        <f t="shared" si="146"/>
        <v>113.99999999999991</v>
      </c>
      <c r="Q110" s="182">
        <f>Q109-G110</f>
        <v>18.61</v>
      </c>
      <c r="U110" s="184">
        <f t="shared" si="149"/>
        <v>17.10999999999995</v>
      </c>
      <c r="V110" s="201">
        <f>IF(H109="AFIII",VLOOKUP(D110,Sheet1!$A$4:$H$18,5,FALSE),IF(H109="UBIII",VLOOKUP(D110,Sheet1!$A$4:$H$18,8,FALSE),IF(H109="",VLOOKUP(D110,Sheet1!$A$4:$H$18,2,FALSE),"0")))</f>
        <v>442</v>
      </c>
      <c r="W110" s="201">
        <f t="shared" si="150"/>
        <v>7033</v>
      </c>
      <c r="X110" s="208">
        <f t="shared" si="151"/>
        <v>10917</v>
      </c>
      <c r="Y110" s="171" t="str">
        <f t="shared" si="152"/>
        <v>SUCCESS</v>
      </c>
      <c r="Z110" s="171" t="str">
        <f t="shared" si="153"/>
        <v>ERROR</v>
      </c>
      <c r="AA110" s="185">
        <f t="shared" si="110"/>
        <v>156.4410115488877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504</v>
      </c>
      <c r="B111" s="113">
        <f t="shared" si="142"/>
        <v>42632</v>
      </c>
      <c r="C111" s="118">
        <f t="shared" si="143"/>
        <v>272.1500000000002</v>
      </c>
      <c r="D111" s="181" t="s">
        <v>6</v>
      </c>
      <c r="E111" s="182">
        <f>IF(H110="AFIII",VLOOKUP($D111,Sheet1!$A$34:$K$48,5,FALSE),IF(H110="UBIII",VLOOKUP($D111,Sheet1!$A$34:$K$48,8,FALSE),VLOOKUP($D111,Sheet1!$A$34:$K$48,2,FALSE)))</f>
        <v>2.86</v>
      </c>
      <c r="F111" s="182">
        <f>ROUNDDOWN((IF(H110="AFIII",VLOOKUP($D111,Sheet1!$A$34:$K$48,5,FALSE),IF(H110="UBIII",VLOOKUP($D111,Sheet1!$A$34:$K$48,8,FALSE),VLOOKUP($D111,Sheet1!$A$34:$K$48,2,FALSE))))*0.85,2)</f>
        <v>2.4300000000000002</v>
      </c>
      <c r="G111" s="182">
        <f>IF(M110="迅速",IF(S110="黒魔紋",$F$1,$E$1),IF(S110="黒魔紋",IF(F111&lt;$F$1,$F$1,F111),IF(E111&lt;$E$1,$E$1,E111)))</f>
        <v>2.86</v>
      </c>
      <c r="H111" s="183" t="s">
        <v>84</v>
      </c>
      <c r="I111" s="182">
        <f>I110-G111</f>
        <v>7.1400000000000006</v>
      </c>
      <c r="K111" s="182">
        <f>K110-G111</f>
        <v>27.14</v>
      </c>
      <c r="L111" s="182">
        <f>L110-G111</f>
        <v>57.14</v>
      </c>
      <c r="N111" s="182">
        <v>20</v>
      </c>
      <c r="O111" s="182">
        <f t="shared" si="146"/>
        <v>111.13999999999992</v>
      </c>
      <c r="Q111" s="182">
        <f t="shared" ref="Q111:Q117" si="158">Q110-G111</f>
        <v>15.75</v>
      </c>
      <c r="U111" s="184">
        <f t="shared" si="149"/>
        <v>14.24999999999995</v>
      </c>
      <c r="V111" s="201">
        <f>IF(H110="AFIII",VLOOKUP(D111,Sheet1!$A$4:$H$18,5,FALSE),IF(H110="UBIII",VLOOKUP(D111,Sheet1!$A$4:$H$18,8,FALSE),IF(H110="",VLOOKUP(D111,Sheet1!$A$4:$H$18,2,FALSE),"0")))</f>
        <v>1768</v>
      </c>
      <c r="W111" s="201">
        <f t="shared" si="150"/>
        <v>0</v>
      </c>
      <c r="X111" s="208">
        <f t="shared" si="151"/>
        <v>9149</v>
      </c>
      <c r="Y111" s="171" t="str">
        <f t="shared" si="152"/>
        <v>SUCCESS</v>
      </c>
      <c r="Z111" s="171" t="str">
        <f t="shared" si="153"/>
        <v>SUCCESS</v>
      </c>
      <c r="AA111" s="185">
        <f t="shared" si="110"/>
        <v>156.64890685283839</v>
      </c>
    </row>
    <row r="112" spans="1:27">
      <c r="A112" s="112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604</v>
      </c>
      <c r="B112" s="113">
        <f t="shared" si="142"/>
        <v>43236</v>
      </c>
      <c r="C112" s="118">
        <f t="shared" si="143"/>
        <v>275.01000000000022</v>
      </c>
      <c r="D112" s="181" t="s">
        <v>6</v>
      </c>
      <c r="E112" s="182">
        <f>IF(H111="AFIII",VLOOKUP($D112,Sheet1!$A$34:$K$48,5,FALSE),IF(H111="UBIII",VLOOKUP($D112,Sheet1!$A$34:$K$48,8,FALSE),VLOOKUP($D112,Sheet1!$A$34:$K$48,2,FALSE)))</f>
        <v>2.86</v>
      </c>
      <c r="F112" s="182">
        <f>ROUNDDOWN((IF(H111="AFIII",VLOOKUP($D112,Sheet1!$A$34:$K$48,5,FALSE),IF(H111="UBIII",VLOOKUP($D112,Sheet1!$A$34:$K$48,8,FALSE),VLOOKUP($D112,Sheet1!$A$34:$K$48,2,FALSE))))*0.85,2)</f>
        <v>2.4300000000000002</v>
      </c>
      <c r="G112" s="182">
        <f t="shared" ref="G112:G124" si="159">IF(M111="迅速",IF(S111="黒魔紋",$F$1,$E$1),IF(S111="黒魔紋",IF(F112&lt;$F$1,$F$1,F112),IF(E112&lt;$E$1,$E$1,E112)))</f>
        <v>2.86</v>
      </c>
      <c r="H112" s="183" t="s">
        <v>84</v>
      </c>
      <c r="I112" s="182">
        <f t="shared" ref="I112" si="160">I111-G112</f>
        <v>4.2800000000000011</v>
      </c>
      <c r="K112" s="182">
        <f t="shared" ref="K112:K113" si="161">K111-G112</f>
        <v>24.28</v>
      </c>
      <c r="L112" s="182">
        <f t="shared" ref="L112:L113" si="162">L111-G112</f>
        <v>54.28</v>
      </c>
      <c r="N112" s="182">
        <f>N111-G112</f>
        <v>17.14</v>
      </c>
      <c r="O112" s="182">
        <f t="shared" si="146"/>
        <v>108.27999999999992</v>
      </c>
      <c r="P112" s="183" t="s">
        <v>131</v>
      </c>
      <c r="Q112" s="182">
        <f t="shared" si="158"/>
        <v>12.89</v>
      </c>
      <c r="R112" s="182">
        <v>60</v>
      </c>
      <c r="U112" s="184">
        <f t="shared" si="149"/>
        <v>11.389999999999951</v>
      </c>
      <c r="V112" s="201">
        <f>IF(H111="AFIII",VLOOKUP(D112,Sheet1!$A$4:$H$18,5,FALSE),IF(H111="UBIII",VLOOKUP(D112,Sheet1!$A$4:$H$18,8,FALSE),IF(H111="",VLOOKUP(D112,Sheet1!$A$4:$H$18,2,FALSE),"0")))</f>
        <v>1768</v>
      </c>
      <c r="W112" s="201">
        <f t="shared" si="150"/>
        <v>0</v>
      </c>
      <c r="X112" s="208">
        <f t="shared" si="151"/>
        <v>7381</v>
      </c>
      <c r="Y112" s="171" t="str">
        <f t="shared" si="152"/>
        <v>SUCCESS</v>
      </c>
      <c r="Z112" s="171" t="str">
        <f t="shared" si="153"/>
        <v>SUCCESS</v>
      </c>
      <c r="AA112" s="185">
        <f t="shared" si="110"/>
        <v>157.21610123268232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388</v>
      </c>
      <c r="B113" s="113">
        <f t="shared" si="142"/>
        <v>43624</v>
      </c>
      <c r="C113" s="118">
        <f t="shared" si="143"/>
        <v>277.4000000000002</v>
      </c>
      <c r="D113" s="181" t="s">
        <v>1</v>
      </c>
      <c r="E113" s="182">
        <f>IF(H112="AFIII",VLOOKUP($D113,Sheet1!$A$34:$K$48,5,FALSE),IF(H112="UBIII",VLOOKUP($D113,Sheet1!$A$34:$K$48,8,FALSE),VLOOKUP($D113,Sheet1!$A$34:$K$48,2,FALSE)))</f>
        <v>2.39</v>
      </c>
      <c r="F113" s="182">
        <f>ROUNDDOWN((IF(H112="AFIII",VLOOKUP($D113,Sheet1!$A$34:$K$48,5,FALSE),IF(H112="UBIII",VLOOKUP($D113,Sheet1!$A$34:$K$48,8,FALSE),VLOOKUP($D113,Sheet1!$A$34:$K$48,2,FALSE))))*0.85,2)</f>
        <v>2.0299999999999998</v>
      </c>
      <c r="G113" s="182">
        <f t="shared" si="159"/>
        <v>2.39</v>
      </c>
      <c r="H113" s="183" t="s">
        <v>84</v>
      </c>
      <c r="I113" s="182">
        <v>10</v>
      </c>
      <c r="K113" s="182">
        <f t="shared" si="161"/>
        <v>21.89</v>
      </c>
      <c r="L113" s="182">
        <f t="shared" si="162"/>
        <v>51.89</v>
      </c>
      <c r="N113" s="182">
        <f t="shared" ref="N113" si="163">N112-G113</f>
        <v>14.75</v>
      </c>
      <c r="O113" s="182">
        <f t="shared" si="146"/>
        <v>105.88999999999992</v>
      </c>
      <c r="Q113" s="182">
        <f t="shared" si="158"/>
        <v>10.5</v>
      </c>
      <c r="R113" s="182">
        <f t="shared" ref="R113:R115" si="164">R112-G113</f>
        <v>57.61</v>
      </c>
      <c r="U113" s="184">
        <f t="shared" si="149"/>
        <v>8.9999999999999503</v>
      </c>
      <c r="V113" s="201">
        <f>IF(H112="AFIII",VLOOKUP(D113,Sheet1!$A$4:$H$18,5,FALSE),IF(H112="UBIII",VLOOKUP(D113,Sheet1!$A$4:$H$18,8,FALSE),IF(H112="",VLOOKUP(D113,Sheet1!$A$4:$H$18,2,FALSE),"0")))</f>
        <v>2120</v>
      </c>
      <c r="W113" s="201">
        <f t="shared" si="150"/>
        <v>0</v>
      </c>
      <c r="X113" s="208">
        <f t="shared" si="151"/>
        <v>5261</v>
      </c>
      <c r="Y113" s="171" t="str">
        <f t="shared" si="152"/>
        <v>SUCCESS</v>
      </c>
      <c r="Z113" s="171" t="str">
        <f t="shared" si="153"/>
        <v>SUCCESS</v>
      </c>
      <c r="AA113" s="185">
        <f t="shared" si="110"/>
        <v>157.26027397260262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604</v>
      </c>
      <c r="B114" s="113">
        <f t="shared" si="142"/>
        <v>44228</v>
      </c>
      <c r="C114" s="118">
        <f t="shared" si="143"/>
        <v>280.26000000000022</v>
      </c>
      <c r="D114" s="181" t="s">
        <v>6</v>
      </c>
      <c r="E114" s="182">
        <f>IF(H113="AFIII",VLOOKUP($D114,Sheet1!$A$34:$K$48,5,FALSE),IF(H113="UBIII",VLOOKUP($D114,Sheet1!$A$34:$K$48,8,FALSE),VLOOKUP($D114,Sheet1!$A$34:$K$48,2,FALSE)))</f>
        <v>2.86</v>
      </c>
      <c r="F114" s="182">
        <f>ROUNDDOWN((IF(H113="AFIII",VLOOKUP($D114,Sheet1!$A$34:$K$48,5,FALSE),IF(H113="UBIII",VLOOKUP($D114,Sheet1!$A$34:$K$48,8,FALSE),VLOOKUP($D114,Sheet1!$A$34:$K$48,2,FALSE))))*0.85,2)</f>
        <v>2.4300000000000002</v>
      </c>
      <c r="G114" s="182">
        <f t="shared" si="159"/>
        <v>2.86</v>
      </c>
      <c r="H114" s="183" t="s">
        <v>84</v>
      </c>
      <c r="I114" s="182">
        <f>I113-G114</f>
        <v>7.1400000000000006</v>
      </c>
      <c r="K114" s="182">
        <f>K113-G114</f>
        <v>19.03</v>
      </c>
      <c r="L114" s="182">
        <f>L113-G114</f>
        <v>49.03</v>
      </c>
      <c r="N114" s="182">
        <f>N113-G114</f>
        <v>11.89</v>
      </c>
      <c r="O114" s="182">
        <f t="shared" si="146"/>
        <v>103.02999999999992</v>
      </c>
      <c r="Q114" s="182">
        <f t="shared" si="158"/>
        <v>7.6400000000000006</v>
      </c>
      <c r="R114" s="182">
        <f t="shared" si="164"/>
        <v>54.75</v>
      </c>
      <c r="U114" s="184">
        <f t="shared" si="149"/>
        <v>6.1399999999999508</v>
      </c>
      <c r="V114" s="201">
        <f>IF(H113="AFIII",VLOOKUP(D114,Sheet1!$A$4:$H$18,5,FALSE),IF(H113="UBIII",VLOOKUP(D114,Sheet1!$A$4:$H$18,8,FALSE),IF(H113="",VLOOKUP(D114,Sheet1!$A$4:$H$18,2,FALSE),"0")))</f>
        <v>1768</v>
      </c>
      <c r="W114" s="201">
        <f t="shared" si="150"/>
        <v>0</v>
      </c>
      <c r="X114" s="208">
        <f t="shared" si="151"/>
        <v>3493</v>
      </c>
      <c r="Y114" s="171" t="str">
        <f t="shared" si="152"/>
        <v>SUCCESS</v>
      </c>
      <c r="Z114" s="171" t="str">
        <f t="shared" si="153"/>
        <v>SUCCESS</v>
      </c>
      <c r="AA114" s="185">
        <f t="shared" si="110"/>
        <v>157.81060443873534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604</v>
      </c>
      <c r="B115" s="113">
        <f t="shared" si="142"/>
        <v>44832</v>
      </c>
      <c r="C115" s="118">
        <f t="shared" si="143"/>
        <v>283.12000000000023</v>
      </c>
      <c r="D115" s="181" t="s">
        <v>6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159"/>
        <v>2.86</v>
      </c>
      <c r="H115" s="183" t="s">
        <v>84</v>
      </c>
      <c r="I115" s="182">
        <f>I114-G115</f>
        <v>4.2800000000000011</v>
      </c>
      <c r="K115" s="182">
        <f t="shared" ref="K115:K117" si="165">K114-G115</f>
        <v>16.170000000000002</v>
      </c>
      <c r="L115" s="182">
        <f t="shared" ref="L115:L134" si="166">L114-G115</f>
        <v>46.17</v>
      </c>
      <c r="N115" s="182">
        <f t="shared" ref="N115:N117" si="167">N114-G115</f>
        <v>9.0300000000000011</v>
      </c>
      <c r="O115" s="182">
        <f t="shared" si="146"/>
        <v>100.16999999999992</v>
      </c>
      <c r="Q115" s="182">
        <f t="shared" si="158"/>
        <v>4.7800000000000011</v>
      </c>
      <c r="R115" s="182">
        <f t="shared" si="164"/>
        <v>51.89</v>
      </c>
      <c r="U115" s="184">
        <f t="shared" si="149"/>
        <v>3.279999999999951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150"/>
        <v>0</v>
      </c>
      <c r="X115" s="208">
        <f t="shared" si="151"/>
        <v>1725</v>
      </c>
      <c r="Y115" s="171" t="str">
        <f t="shared" si="152"/>
        <v>SUCCESS</v>
      </c>
      <c r="Z115" s="171" t="str">
        <f t="shared" si="153"/>
        <v>SUCCESS</v>
      </c>
      <c r="AA115" s="185">
        <f t="shared" si="110"/>
        <v>158.34981633229714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518</v>
      </c>
      <c r="B116" s="113">
        <f t="shared" si="142"/>
        <v>45350</v>
      </c>
      <c r="C116" s="118">
        <f>C115+G116</f>
        <v>285.51000000000022</v>
      </c>
      <c r="D116" s="181" t="s">
        <v>129</v>
      </c>
      <c r="E116" s="182">
        <f>IF(H115="AFIII",VLOOKUP($D116,Sheet1!$A$34:$K$48,5,FALSE),IF(H115="UBIII",VLOOKUP($D116,Sheet1!$A$34:$K$48,8,FALSE),VLOOKUP($D116,Sheet1!$A$34:$K$48,2,FALSE)))</f>
        <v>2.39</v>
      </c>
      <c r="F116" s="182">
        <f>ROUNDDOWN((IF(H115="AFIII",VLOOKUP($D116,Sheet1!$A$34:$K$48,5,FALSE),IF(H115="UBIII",VLOOKUP($D116,Sheet1!$A$34:$K$48,8,FALSE),VLOOKUP($D116,Sheet1!$A$34:$K$48,2,FALSE))))*0.85,2)</f>
        <v>2.0299999999999998</v>
      </c>
      <c r="G116" s="182">
        <f t="shared" si="159"/>
        <v>2.39</v>
      </c>
      <c r="H116" s="183" t="s">
        <v>84</v>
      </c>
      <c r="I116" s="182">
        <v>10</v>
      </c>
      <c r="K116" s="182">
        <f t="shared" si="165"/>
        <v>13.780000000000001</v>
      </c>
      <c r="L116" s="182">
        <f t="shared" si="166"/>
        <v>43.78</v>
      </c>
      <c r="N116" s="182">
        <f t="shared" si="167"/>
        <v>6.6400000000000006</v>
      </c>
      <c r="O116" s="182">
        <f t="shared" si="146"/>
        <v>97.779999999999916</v>
      </c>
      <c r="Q116" s="182">
        <f t="shared" si="158"/>
        <v>2.390000000000001</v>
      </c>
      <c r="R116" s="182">
        <f>R115-G116</f>
        <v>49.5</v>
      </c>
      <c r="S116" s="183" t="s">
        <v>87</v>
      </c>
      <c r="T116" s="182">
        <v>30</v>
      </c>
      <c r="U116" s="184">
        <v>90</v>
      </c>
      <c r="V116" s="201">
        <f>IF(H115="AFIII",VLOOKUP(D116,Sheet1!$A$4:$H$18,5,FALSE),IF(H115="UBIII",VLOOKUP(D116,Sheet1!$A$4:$H$18,8,FALSE),IF(H115="",VLOOKUP(D116,Sheet1!$A$4:$H$18,2,FALSE),"0")))</f>
        <v>0</v>
      </c>
      <c r="W116" s="201">
        <f t="shared" si="150"/>
        <v>0</v>
      </c>
      <c r="X116" s="208">
        <f>IF(M116="コンバート",(IF(D116="フレア",0,IF(X115-V116+W116&gt;$X$3,$X$3-V116,X115-V116+W116)))+$X$1,IF(D116="フレア",0,IF(X115-V116+W116&gt;$X$3,$X$3-V116,X115-V116+W116)))</f>
        <v>1725</v>
      </c>
      <c r="Y116" s="171" t="str">
        <f t="shared" si="152"/>
        <v>SUCCESS</v>
      </c>
      <c r="Z116" s="171" t="str">
        <f t="shared" si="153"/>
        <v>SUCCESS</v>
      </c>
      <c r="AA116" s="185">
        <f t="shared" si="110"/>
        <v>158.8385695772476</v>
      </c>
    </row>
    <row r="117" spans="1:27">
      <c r="A117" s="11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201</v>
      </c>
      <c r="B117" s="113">
        <f t="shared" si="142"/>
        <v>45551</v>
      </c>
      <c r="C117" s="118">
        <f t="shared" ref="C117:C140" si="168">C116+G117</f>
        <v>287.54000000000019</v>
      </c>
      <c r="D117" s="181" t="s">
        <v>12</v>
      </c>
      <c r="E117" s="182">
        <f>IF(H116="AFIII",VLOOKUP($D117,Sheet1!$A$34:$K$48,5,FALSE),IF(H116="UBIII",VLOOKUP($D117,Sheet1!$A$34:$K$48,8,FALSE),VLOOKUP($D117,Sheet1!$A$34:$K$48,2,FALSE)))</f>
        <v>1.67</v>
      </c>
      <c r="F117" s="182">
        <f>ROUNDDOWN((IF(H116="AFIII",VLOOKUP($D117,Sheet1!$A$34:$K$48,5,FALSE),IF(H116="UBIII",VLOOKUP($D117,Sheet1!$A$34:$K$48,8,FALSE),VLOOKUP($D117,Sheet1!$A$34:$K$48,2,FALSE))))*0.85,2)</f>
        <v>1.41</v>
      </c>
      <c r="G117" s="182">
        <f>IF(M116="迅速",IF(S116="黒魔紋",$F$1,$E$1),IF(S116="黒魔紋",IF(F117&lt;$F$1,$F$1,F117),IF(E117&lt;$E$1,$E$1,E117)))</f>
        <v>2.0299999999999998</v>
      </c>
      <c r="H117" s="183" t="s">
        <v>122</v>
      </c>
      <c r="I117" s="182">
        <v>10</v>
      </c>
      <c r="K117" s="182">
        <f t="shared" si="165"/>
        <v>11.750000000000002</v>
      </c>
      <c r="L117" s="182">
        <f t="shared" si="166"/>
        <v>41.75</v>
      </c>
      <c r="N117" s="182">
        <f t="shared" si="167"/>
        <v>4.6100000000000012</v>
      </c>
      <c r="O117" s="182">
        <f t="shared" si="146"/>
        <v>95.749999999999915</v>
      </c>
      <c r="Q117" s="182">
        <f t="shared" si="158"/>
        <v>0.36000000000000121</v>
      </c>
      <c r="R117" s="182">
        <f t="shared" ref="R117:R129" si="169">R116-G117</f>
        <v>47.47</v>
      </c>
      <c r="S117" s="183" t="s">
        <v>87</v>
      </c>
      <c r="T117" s="182">
        <f t="shared" ref="T117:T121" si="170">T116-G117</f>
        <v>27.97</v>
      </c>
      <c r="U117" s="184">
        <f t="shared" ref="U117:U159" si="171">U116-G117</f>
        <v>87.97</v>
      </c>
      <c r="V117" s="201">
        <f>IF(H116="AFIII",VLOOKUP(D117,Sheet1!$A$4:$H$18,5,FALSE),IF(H116="UBIII",VLOOKUP(D117,Sheet1!$A$4:$H$18,8,FALSE),IF(H116="",VLOOKUP(D117,Sheet1!$A$4:$H$18,2,FALSE),"0")))</f>
        <v>265</v>
      </c>
      <c r="W117" s="201">
        <f t="shared" si="150"/>
        <v>0</v>
      </c>
      <c r="X117" s="208">
        <f t="shared" ref="X117:X140" si="172">IF(M117="コンバート",(IF(D117="フレア",0,IF(X116-V117+W117&gt;$X$3,$X$3-V117,X116-V117+W117)))+$X$1,IF(D117="フレア",0,IF(X116-V117+W117&gt;$X$3,$X$3-V117,X116-V117+W117)))</f>
        <v>1460</v>
      </c>
      <c r="Y117" s="171" t="str">
        <f t="shared" si="152"/>
        <v>SUCCESS</v>
      </c>
      <c r="Z117" s="171" t="str">
        <f t="shared" si="153"/>
        <v>SUCCESS</v>
      </c>
      <c r="AA117" s="185">
        <f t="shared" si="110"/>
        <v>158.41622035195093</v>
      </c>
    </row>
    <row r="118" spans="1:27">
      <c r="A118" s="119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336</v>
      </c>
      <c r="B118" s="120">
        <f t="shared" si="142"/>
        <v>45887</v>
      </c>
      <c r="C118" s="121">
        <f t="shared" si="168"/>
        <v>289.9700000000002</v>
      </c>
      <c r="D118" s="191" t="s">
        <v>14</v>
      </c>
      <c r="E118" s="192">
        <f>IF(H117="AFIII",VLOOKUP($D118,Sheet1!$A$34:$K$48,5,FALSE),IF(H117="UBIII",VLOOKUP($D118,Sheet1!$A$34:$K$48,8,FALSE),VLOOKUP($D118,Sheet1!$A$34:$K$48,2,FALSE)))</f>
        <v>2.86</v>
      </c>
      <c r="F118" s="192">
        <f>ROUNDDOWN((IF(H117="AFIII",VLOOKUP($D118,Sheet1!$A$34:$K$48,5,FALSE),IF(H117="UBIII",VLOOKUP($D118,Sheet1!$A$34:$K$48,8,FALSE),VLOOKUP($D118,Sheet1!$A$34:$K$48,2,FALSE))))*0.85,2)</f>
        <v>2.4300000000000002</v>
      </c>
      <c r="G118" s="192">
        <f t="shared" ref="G118:G141" si="173">IF(M117="迅速",IF(S117="黒魔紋",$F$1,$E$1),IF(S117="黒魔紋",IF(F118&lt;$F$1,$F$1,F118),IF(E118&lt;$E$1,$E$1,E118)))</f>
        <v>2.4300000000000002</v>
      </c>
      <c r="H118" s="193" t="s">
        <v>122</v>
      </c>
      <c r="I118" s="192">
        <f t="shared" ref="I118" si="174">I117-G118</f>
        <v>7.57</v>
      </c>
      <c r="J118" s="193"/>
      <c r="K118" s="192">
        <v>25</v>
      </c>
      <c r="L118" s="192">
        <f t="shared" si="166"/>
        <v>39.32</v>
      </c>
      <c r="M118" s="193"/>
      <c r="N118" s="192"/>
      <c r="O118" s="192">
        <f t="shared" si="146"/>
        <v>93.319999999999908</v>
      </c>
      <c r="P118" s="193"/>
      <c r="Q118" s="192">
        <f>Q117-G118</f>
        <v>-2.069999999999999</v>
      </c>
      <c r="R118" s="192">
        <f t="shared" si="169"/>
        <v>45.04</v>
      </c>
      <c r="S118" s="193" t="s">
        <v>87</v>
      </c>
      <c r="T118" s="192">
        <f t="shared" si="170"/>
        <v>25.54</v>
      </c>
      <c r="U118" s="194">
        <f t="shared" si="171"/>
        <v>85.539999999999992</v>
      </c>
      <c r="V118" s="211">
        <f>IF(H117="AFIII",VLOOKUP(D118,Sheet1!$A$4:$H$18,5,FALSE),IF(H117="UBIII",VLOOKUP(D118,Sheet1!$A$4:$H$18,8,FALSE),IF(H117="",VLOOKUP(D118,Sheet1!$A$4:$H$18,2,FALSE),"0")))</f>
        <v>884</v>
      </c>
      <c r="W118" s="211">
        <f t="shared" si="150"/>
        <v>7033</v>
      </c>
      <c r="X118" s="212">
        <f t="shared" si="172"/>
        <v>7609</v>
      </c>
      <c r="Y118" s="195" t="str">
        <f t="shared" si="152"/>
        <v>SUCCESS</v>
      </c>
      <c r="Z118" s="195" t="str">
        <f t="shared" si="153"/>
        <v>SUCCESS</v>
      </c>
      <c r="AA118" s="185">
        <f t="shared" si="110"/>
        <v>158.24740490395547</v>
      </c>
    </row>
    <row r="119" spans="1:27">
      <c r="A119" s="11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168</v>
      </c>
      <c r="B119" s="113">
        <f t="shared" si="142"/>
        <v>46055</v>
      </c>
      <c r="C119" s="118">
        <f t="shared" si="168"/>
        <v>292.00000000000017</v>
      </c>
      <c r="D119" s="181" t="s">
        <v>4</v>
      </c>
      <c r="E119" s="182">
        <f>IF(H118="AFIII",VLOOKUP($D119,Sheet1!$A$34:$K$48,5,FALSE),IF(H118="UBIII",VLOOKUP($D119,Sheet1!$A$34:$K$48,8,FALSE),VLOOKUP($D119,Sheet1!$A$34:$K$48,2,FALSE)))</f>
        <v>1.67</v>
      </c>
      <c r="F119" s="182">
        <f>ROUNDDOWN((IF(H118="AFIII",VLOOKUP($D119,Sheet1!$A$34:$K$48,5,FALSE),IF(H118="UBIII",VLOOKUP($D119,Sheet1!$A$34:$K$48,8,FALSE),VLOOKUP($D119,Sheet1!$A$34:$K$48,2,FALSE))))*0.85,2)</f>
        <v>1.41</v>
      </c>
      <c r="G119" s="182">
        <f t="shared" si="173"/>
        <v>2.0299999999999998</v>
      </c>
      <c r="H119" s="183" t="s">
        <v>84</v>
      </c>
      <c r="I119" s="182">
        <v>10</v>
      </c>
      <c r="K119" s="182">
        <f>K118-G119</f>
        <v>22.97</v>
      </c>
      <c r="L119" s="182">
        <f t="shared" si="166"/>
        <v>37.29</v>
      </c>
      <c r="O119" s="182">
        <f t="shared" si="146"/>
        <v>91.289999999999907</v>
      </c>
      <c r="Q119" s="182">
        <f t="shared" ref="Q119:Q133" si="175">Q118-G119</f>
        <v>-4.0999999999999988</v>
      </c>
      <c r="R119" s="182">
        <f t="shared" si="169"/>
        <v>43.01</v>
      </c>
      <c r="S119" s="183" t="s">
        <v>87</v>
      </c>
      <c r="T119" s="182">
        <f t="shared" si="170"/>
        <v>23.509999999999998</v>
      </c>
      <c r="U119" s="184">
        <f t="shared" si="171"/>
        <v>83.509999999999991</v>
      </c>
      <c r="V119" s="201">
        <f>IF(H118="AFIII",VLOOKUP(D119,Sheet1!$A$4:$H$18,5,FALSE),IF(H118="UBIII",VLOOKUP(D119,Sheet1!$A$4:$H$18,8,FALSE),IF(H118="",VLOOKUP(D119,Sheet1!$A$4:$H$18,2,FALSE),"0")))</f>
        <v>442</v>
      </c>
      <c r="W119" s="201">
        <f t="shared" si="150"/>
        <v>7033</v>
      </c>
      <c r="X119" s="208">
        <f t="shared" si="172"/>
        <v>10917</v>
      </c>
      <c r="Y119" s="171" t="str">
        <f t="shared" si="152"/>
        <v>SUCCESS</v>
      </c>
      <c r="Z119" s="171" t="str">
        <f t="shared" si="153"/>
        <v>SUCCESS</v>
      </c>
      <c r="AA119" s="185">
        <f t="shared" si="110"/>
        <v>157.72260273972594</v>
      </c>
    </row>
    <row r="120" spans="1:27">
      <c r="A120" s="112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504</v>
      </c>
      <c r="B120" s="113">
        <f t="shared" si="142"/>
        <v>46559</v>
      </c>
      <c r="C120" s="118">
        <f t="shared" si="168"/>
        <v>294.43000000000018</v>
      </c>
      <c r="D120" s="181" t="s">
        <v>6</v>
      </c>
      <c r="E120" s="182">
        <f>IF(H119="AFIII",VLOOKUP($D120,Sheet1!$A$34:$K$48,5,FALSE),IF(H119="UBIII",VLOOKUP($D120,Sheet1!$A$34:$K$48,8,FALSE),VLOOKUP($D120,Sheet1!$A$34:$K$48,2,FALSE)))</f>
        <v>2.86</v>
      </c>
      <c r="F120" s="182">
        <f>ROUNDDOWN((IF(H119="AFIII",VLOOKUP($D120,Sheet1!$A$34:$K$48,5,FALSE),IF(H119="UBIII",VLOOKUP($D120,Sheet1!$A$34:$K$48,8,FALSE),VLOOKUP($D120,Sheet1!$A$34:$K$48,2,FALSE))))*0.85,2)</f>
        <v>2.4300000000000002</v>
      </c>
      <c r="G120" s="182">
        <f t="shared" si="173"/>
        <v>2.4300000000000002</v>
      </c>
      <c r="H120" s="183" t="s">
        <v>84</v>
      </c>
      <c r="I120" s="182">
        <f>I119-G120</f>
        <v>7.57</v>
      </c>
      <c r="K120" s="182">
        <f t="shared" ref="K120:K125" si="176">K119-G120</f>
        <v>20.54</v>
      </c>
      <c r="L120" s="182">
        <f t="shared" si="166"/>
        <v>34.86</v>
      </c>
      <c r="O120" s="182">
        <f t="shared" si="146"/>
        <v>88.8599999999999</v>
      </c>
      <c r="Q120" s="182">
        <f t="shared" si="175"/>
        <v>-6.5299999999999994</v>
      </c>
      <c r="R120" s="182">
        <f t="shared" si="169"/>
        <v>40.58</v>
      </c>
      <c r="S120" s="183" t="s">
        <v>87</v>
      </c>
      <c r="T120" s="182">
        <f>T119-G120</f>
        <v>21.08</v>
      </c>
      <c r="U120" s="184">
        <f t="shared" si="171"/>
        <v>81.079999999999984</v>
      </c>
      <c r="V120" s="201">
        <f>IF(H119="AFIII",VLOOKUP(D120,Sheet1!$A$4:$H$18,5,FALSE),IF(H119="UBIII",VLOOKUP(D120,Sheet1!$A$4:$H$18,8,FALSE),IF(H119="",VLOOKUP(D120,Sheet1!$A$4:$H$18,2,FALSE),"0")))</f>
        <v>1768</v>
      </c>
      <c r="W120" s="201">
        <f t="shared" si="150"/>
        <v>0</v>
      </c>
      <c r="X120" s="208">
        <f t="shared" si="172"/>
        <v>9149</v>
      </c>
      <c r="Y120" s="171" t="str">
        <f t="shared" si="152"/>
        <v>SUCCESS</v>
      </c>
      <c r="Z120" s="171" t="str">
        <f t="shared" si="153"/>
        <v>SUCCESS</v>
      </c>
      <c r="AA120" s="185">
        <f t="shared" si="110"/>
        <v>158.1326631117752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504</v>
      </c>
      <c r="B121" s="113">
        <f t="shared" si="142"/>
        <v>47063</v>
      </c>
      <c r="C121" s="118">
        <f t="shared" si="168"/>
        <v>296.86000000000018</v>
      </c>
      <c r="D121" s="181" t="s">
        <v>6</v>
      </c>
      <c r="E121" s="182">
        <f>IF(H120="AFIII",VLOOKUP($D121,Sheet1!$A$34:$K$48,5,FALSE),IF(H120="UBIII",VLOOKUP($D121,Sheet1!$A$34:$K$48,8,FALSE),VLOOKUP($D121,Sheet1!$A$34:$K$48,2,FALSE)))</f>
        <v>2.86</v>
      </c>
      <c r="F121" s="182">
        <f>ROUNDDOWN((IF(H120="AFIII",VLOOKUP($D121,Sheet1!$A$34:$K$48,5,FALSE),IF(H120="UBIII",VLOOKUP($D121,Sheet1!$A$34:$K$48,8,FALSE),VLOOKUP($D121,Sheet1!$A$34:$K$48,2,FALSE))))*0.85,2)</f>
        <v>2.4300000000000002</v>
      </c>
      <c r="G121" s="182">
        <f t="shared" si="173"/>
        <v>2.4300000000000002</v>
      </c>
      <c r="H121" s="183" t="s">
        <v>84</v>
      </c>
      <c r="I121" s="182">
        <f>I120-G121</f>
        <v>5.1400000000000006</v>
      </c>
      <c r="K121" s="182">
        <f t="shared" si="176"/>
        <v>18.11</v>
      </c>
      <c r="L121" s="182">
        <f t="shared" si="166"/>
        <v>32.43</v>
      </c>
      <c r="O121" s="182">
        <f t="shared" si="146"/>
        <v>86.429999999999893</v>
      </c>
      <c r="Q121" s="182">
        <f t="shared" si="175"/>
        <v>-8.9599999999999991</v>
      </c>
      <c r="R121" s="182">
        <f t="shared" si="169"/>
        <v>38.15</v>
      </c>
      <c r="S121" s="183" t="s">
        <v>87</v>
      </c>
      <c r="T121" s="182">
        <f t="shared" ref="T121:T135" si="177">T120-G121</f>
        <v>18.649999999999999</v>
      </c>
      <c r="U121" s="184">
        <f t="shared" si="171"/>
        <v>78.649999999999977</v>
      </c>
      <c r="V121" s="201">
        <f>IF(H120="AFIII",VLOOKUP(D121,Sheet1!$A$4:$H$18,5,FALSE),IF(H120="UBIII",VLOOKUP(D121,Sheet1!$A$4:$H$18,8,FALSE),IF(H120="",VLOOKUP(D121,Sheet1!$A$4:$H$18,2,FALSE),"0")))</f>
        <v>1768</v>
      </c>
      <c r="W121" s="201">
        <f t="shared" si="150"/>
        <v>0</v>
      </c>
      <c r="X121" s="208">
        <f t="shared" si="172"/>
        <v>7381</v>
      </c>
      <c r="Y121" s="171" t="str">
        <f t="shared" si="152"/>
        <v>SUCCESS</v>
      </c>
      <c r="Z121" s="171" t="str">
        <f t="shared" si="153"/>
        <v>SUCCESS</v>
      </c>
      <c r="AA121" s="185">
        <f t="shared" si="110"/>
        <v>158.53601024051733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324</v>
      </c>
      <c r="B122" s="113">
        <f t="shared" si="142"/>
        <v>47387</v>
      </c>
      <c r="C122" s="118">
        <f t="shared" si="168"/>
        <v>298.89000000000016</v>
      </c>
      <c r="D122" s="181" t="s">
        <v>1</v>
      </c>
      <c r="E122" s="182">
        <f>IF(H121="AFIII",VLOOKUP($D122,Sheet1!$A$34:$K$48,5,FALSE),IF(H121="UBIII",VLOOKUP($D122,Sheet1!$A$34:$K$48,8,FALSE),VLOOKUP($D122,Sheet1!$A$34:$K$48,2,FALSE)))</f>
        <v>2.39</v>
      </c>
      <c r="F122" s="182">
        <f>ROUNDDOWN((IF(H121="AFIII",VLOOKUP($D122,Sheet1!$A$34:$K$48,5,FALSE),IF(H121="UBIII",VLOOKUP($D122,Sheet1!$A$34:$K$48,8,FALSE),VLOOKUP($D122,Sheet1!$A$34:$K$48,2,FALSE))))*0.85,2)</f>
        <v>2.0299999999999998</v>
      </c>
      <c r="G122" s="182">
        <f t="shared" si="173"/>
        <v>2.0299999999999998</v>
      </c>
      <c r="H122" s="183" t="s">
        <v>84</v>
      </c>
      <c r="I122" s="182">
        <v>10</v>
      </c>
      <c r="K122" s="182">
        <f t="shared" si="176"/>
        <v>16.079999999999998</v>
      </c>
      <c r="L122" s="182">
        <f t="shared" si="166"/>
        <v>30.4</v>
      </c>
      <c r="O122" s="182">
        <f t="shared" si="146"/>
        <v>84.399999999999892</v>
      </c>
      <c r="Q122" s="182">
        <f t="shared" si="175"/>
        <v>-10.989999999999998</v>
      </c>
      <c r="R122" s="182">
        <f t="shared" si="169"/>
        <v>36.119999999999997</v>
      </c>
      <c r="S122" s="183" t="s">
        <v>87</v>
      </c>
      <c r="T122" s="182">
        <f t="shared" si="177"/>
        <v>16.619999999999997</v>
      </c>
      <c r="U122" s="184">
        <f t="shared" si="171"/>
        <v>76.619999999999976</v>
      </c>
      <c r="V122" s="201">
        <f>IF(H121="AFIII",VLOOKUP(D122,Sheet1!$A$4:$H$18,5,FALSE),IF(H121="UBIII",VLOOKUP(D122,Sheet1!$A$4:$H$18,8,FALSE),IF(H121="",VLOOKUP(D122,Sheet1!$A$4:$H$18,2,FALSE),"0")))</f>
        <v>2120</v>
      </c>
      <c r="W122" s="201">
        <f t="shared" si="150"/>
        <v>0</v>
      </c>
      <c r="X122" s="208">
        <f t="shared" si="172"/>
        <v>5261</v>
      </c>
      <c r="Y122" s="171" t="str">
        <f t="shared" si="152"/>
        <v>SUCCESS</v>
      </c>
      <c r="Z122" s="171" t="str">
        <f t="shared" si="153"/>
        <v>SUCCESS</v>
      </c>
      <c r="AA122" s="185">
        <f t="shared" si="110"/>
        <v>158.5432767907925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504</v>
      </c>
      <c r="B123" s="113">
        <f t="shared" si="142"/>
        <v>47891</v>
      </c>
      <c r="C123" s="118">
        <f t="shared" si="168"/>
        <v>301.32000000000016</v>
      </c>
      <c r="D123" s="181" t="s">
        <v>6</v>
      </c>
      <c r="E123" s="182">
        <f>IF(H122="AFIII",VLOOKUP($D123,Sheet1!$A$34:$K$48,5,FALSE),IF(H122="UBIII",VLOOKUP($D123,Sheet1!$A$34:$K$48,8,FALSE),VLOOKUP($D123,Sheet1!$A$34:$K$48,2,FALSE)))</f>
        <v>2.86</v>
      </c>
      <c r="F123" s="182">
        <f>ROUNDDOWN((IF(H122="AFIII",VLOOKUP($D123,Sheet1!$A$34:$K$48,5,FALSE),IF(H122="UBIII",VLOOKUP($D123,Sheet1!$A$34:$K$48,8,FALSE),VLOOKUP($D123,Sheet1!$A$34:$K$48,2,FALSE))))*0.85,2)</f>
        <v>2.4300000000000002</v>
      </c>
      <c r="G123" s="182">
        <f t="shared" si="173"/>
        <v>2.4300000000000002</v>
      </c>
      <c r="H123" s="183" t="s">
        <v>84</v>
      </c>
      <c r="I123" s="182">
        <f>I122-G123</f>
        <v>7.57</v>
      </c>
      <c r="K123" s="182">
        <f t="shared" si="176"/>
        <v>13.649999999999999</v>
      </c>
      <c r="L123" s="182">
        <f t="shared" si="166"/>
        <v>27.97</v>
      </c>
      <c r="O123" s="182">
        <f t="shared" si="146"/>
        <v>81.969999999999885</v>
      </c>
      <c r="Q123" s="182">
        <f t="shared" si="175"/>
        <v>-13.419999999999998</v>
      </c>
      <c r="R123" s="182">
        <f t="shared" si="169"/>
        <v>33.69</v>
      </c>
      <c r="S123" s="183" t="s">
        <v>87</v>
      </c>
      <c r="T123" s="182">
        <f t="shared" si="177"/>
        <v>14.189999999999998</v>
      </c>
      <c r="U123" s="184">
        <f t="shared" si="171"/>
        <v>74.189999999999969</v>
      </c>
      <c r="V123" s="201">
        <f>IF(H122="AFIII",VLOOKUP(D123,Sheet1!$A$4:$H$18,5,FALSE),IF(H122="UBIII",VLOOKUP(D123,Sheet1!$A$4:$H$18,8,FALSE),IF(H122="",VLOOKUP(D123,Sheet1!$A$4:$H$18,2,FALSE),"0")))</f>
        <v>1768</v>
      </c>
      <c r="W123" s="201">
        <f t="shared" si="150"/>
        <v>0</v>
      </c>
      <c r="X123" s="208">
        <f t="shared" si="172"/>
        <v>3493</v>
      </c>
      <c r="Y123" s="171" t="str">
        <f t="shared" si="152"/>
        <v>SUCCESS</v>
      </c>
      <c r="Z123" s="171" t="str">
        <f t="shared" si="153"/>
        <v>SUCCESS</v>
      </c>
      <c r="AA123" s="185">
        <f t="shared" si="110"/>
        <v>158.93734236028135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504</v>
      </c>
      <c r="B124" s="113">
        <f t="shared" si="142"/>
        <v>48395</v>
      </c>
      <c r="C124" s="118">
        <f t="shared" si="168"/>
        <v>303.75000000000017</v>
      </c>
      <c r="D124" s="181" t="s">
        <v>6</v>
      </c>
      <c r="E124" s="182">
        <f>IF(H123="AFIII",VLOOKUP($D124,Sheet1!$A$34:$K$48,5,FALSE),IF(H123="UBIII",VLOOKUP($D124,Sheet1!$A$34:$K$48,8,FALSE),VLOOKUP($D124,Sheet1!$A$34:$K$48,2,FALSE)))</f>
        <v>2.86</v>
      </c>
      <c r="F124" s="182">
        <f>ROUNDDOWN((IF(H123="AFIII",VLOOKUP($D124,Sheet1!$A$34:$K$48,5,FALSE),IF(H123="UBIII",VLOOKUP($D124,Sheet1!$A$34:$K$48,8,FALSE),VLOOKUP($D124,Sheet1!$A$34:$K$48,2,FALSE))))*0.85,2)</f>
        <v>2.4300000000000002</v>
      </c>
      <c r="G124" s="182">
        <f t="shared" si="173"/>
        <v>2.4300000000000002</v>
      </c>
      <c r="H124" s="183" t="s">
        <v>84</v>
      </c>
      <c r="I124" s="182">
        <f>I123-G124</f>
        <v>5.1400000000000006</v>
      </c>
      <c r="K124" s="182">
        <f t="shared" si="176"/>
        <v>11.219999999999999</v>
      </c>
      <c r="L124" s="182">
        <f t="shared" si="166"/>
        <v>25.54</v>
      </c>
      <c r="O124" s="182">
        <f t="shared" si="146"/>
        <v>79.539999999999878</v>
      </c>
      <c r="Q124" s="182">
        <f t="shared" si="175"/>
        <v>-15.849999999999998</v>
      </c>
      <c r="R124" s="182">
        <f t="shared" si="169"/>
        <v>31.259999999999998</v>
      </c>
      <c r="S124" s="183" t="s">
        <v>87</v>
      </c>
      <c r="T124" s="182">
        <f t="shared" si="177"/>
        <v>11.759999999999998</v>
      </c>
      <c r="U124" s="184">
        <f t="shared" si="171"/>
        <v>71.759999999999962</v>
      </c>
      <c r="V124" s="201">
        <f>IF(H123="AFIII",VLOOKUP(D124,Sheet1!$A$4:$H$18,5,FALSE),IF(H123="UBIII",VLOOKUP(D124,Sheet1!$A$4:$H$18,8,FALSE),IF(H123="",VLOOKUP(D124,Sheet1!$A$4:$H$18,2,FALSE),"0")))</f>
        <v>1768</v>
      </c>
      <c r="W124" s="201">
        <f t="shared" si="150"/>
        <v>0</v>
      </c>
      <c r="X124" s="208">
        <f t="shared" si="172"/>
        <v>1725</v>
      </c>
      <c r="Y124" s="171" t="str">
        <f t="shared" si="152"/>
        <v>SUCCESS</v>
      </c>
      <c r="Z124" s="171" t="str">
        <f t="shared" si="153"/>
        <v>SUCCESS</v>
      </c>
      <c r="AA124" s="185">
        <f t="shared" si="110"/>
        <v>159.32510288065833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168</v>
      </c>
      <c r="B125" s="113">
        <f t="shared" si="142"/>
        <v>48563</v>
      </c>
      <c r="C125" s="118">
        <f t="shared" si="168"/>
        <v>305.78000000000014</v>
      </c>
      <c r="D125" s="181" t="s">
        <v>12</v>
      </c>
      <c r="E125" s="182">
        <f>IF(H124="AFIII",VLOOKUP($D125,Sheet1!$A$34:$K$48,5,FALSE),IF(H124="UBIII",VLOOKUP($D125,Sheet1!$A$34:$K$48,8,FALSE),VLOOKUP($D125,Sheet1!$A$34:$K$48,2,FALSE)))</f>
        <v>1.67</v>
      </c>
      <c r="F125" s="182">
        <f>ROUNDDOWN((IF(H124="AFIII",VLOOKUP($D125,Sheet1!$A$34:$K$48,5,FALSE),IF(H124="UBIII",VLOOKUP($D125,Sheet1!$A$34:$K$48,8,FALSE),VLOOKUP($D125,Sheet1!$A$34:$K$48,2,FALSE))))*0.85,2)</f>
        <v>1.41</v>
      </c>
      <c r="G125" s="182">
        <f t="shared" si="173"/>
        <v>2.0299999999999998</v>
      </c>
      <c r="H125" s="183" t="s">
        <v>122</v>
      </c>
      <c r="I125" s="182">
        <v>10</v>
      </c>
      <c r="K125" s="182">
        <f t="shared" si="176"/>
        <v>9.19</v>
      </c>
      <c r="L125" s="182">
        <f t="shared" si="166"/>
        <v>23.509999999999998</v>
      </c>
      <c r="O125" s="182">
        <f t="shared" si="146"/>
        <v>77.509999999999877</v>
      </c>
      <c r="Q125" s="182">
        <f t="shared" si="175"/>
        <v>-17.88</v>
      </c>
      <c r="R125" s="182">
        <f t="shared" si="169"/>
        <v>29.229999999999997</v>
      </c>
      <c r="S125" s="183" t="s">
        <v>87</v>
      </c>
      <c r="T125" s="182">
        <f t="shared" si="177"/>
        <v>9.7299999999999986</v>
      </c>
      <c r="U125" s="184">
        <f t="shared" si="171"/>
        <v>69.729999999999961</v>
      </c>
      <c r="V125" s="201">
        <f>IF(H124="AFIII",VLOOKUP(D125,Sheet1!$A$4:$H$18,5,FALSE),IF(H124="UBIII",VLOOKUP(D125,Sheet1!$A$4:$H$18,8,FALSE),IF(H124="",VLOOKUP(D125,Sheet1!$A$4:$H$18,2,FALSE),"0")))</f>
        <v>265</v>
      </c>
      <c r="W125" s="201">
        <f t="shared" si="150"/>
        <v>0</v>
      </c>
      <c r="X125" s="208">
        <f t="shared" si="172"/>
        <v>1460</v>
      </c>
      <c r="Y125" s="171" t="str">
        <f t="shared" si="152"/>
        <v>SUCCESS</v>
      </c>
      <c r="Z125" s="171" t="str">
        <f t="shared" si="153"/>
        <v>SUCCESS</v>
      </c>
      <c r="AA125" s="185">
        <f t="shared" si="110"/>
        <v>158.81679638956103</v>
      </c>
    </row>
    <row r="126" spans="1:27">
      <c r="A126" s="119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280</v>
      </c>
      <c r="B126" s="120">
        <f t="shared" si="142"/>
        <v>48843</v>
      </c>
      <c r="C126" s="121">
        <f t="shared" si="168"/>
        <v>308.21000000000015</v>
      </c>
      <c r="D126" s="191" t="s">
        <v>14</v>
      </c>
      <c r="E126" s="192">
        <f>IF(H125="AFIII",VLOOKUP($D126,Sheet1!$A$34:$K$48,5,FALSE),IF(H125="UBIII",VLOOKUP($D126,Sheet1!$A$34:$K$48,8,FALSE),VLOOKUP($D126,Sheet1!$A$34:$K$48,2,FALSE)))</f>
        <v>2.86</v>
      </c>
      <c r="F126" s="192">
        <f>ROUNDDOWN((IF(H125="AFIII",VLOOKUP($D126,Sheet1!$A$34:$K$48,5,FALSE),IF(H125="UBIII",VLOOKUP($D126,Sheet1!$A$34:$K$48,8,FALSE),VLOOKUP($D126,Sheet1!$A$34:$K$48,2,FALSE))))*0.85,2)</f>
        <v>2.4300000000000002</v>
      </c>
      <c r="G126" s="192">
        <f t="shared" si="173"/>
        <v>2.4300000000000002</v>
      </c>
      <c r="H126" s="193" t="s">
        <v>122</v>
      </c>
      <c r="I126" s="192">
        <f>I125-G126</f>
        <v>7.57</v>
      </c>
      <c r="J126" s="193"/>
      <c r="K126" s="192">
        <v>20</v>
      </c>
      <c r="L126" s="192">
        <f t="shared" si="166"/>
        <v>21.08</v>
      </c>
      <c r="M126" s="193"/>
      <c r="N126" s="192"/>
      <c r="O126" s="192">
        <f t="shared" si="146"/>
        <v>75.07999999999987</v>
      </c>
      <c r="P126" s="193"/>
      <c r="Q126" s="192">
        <f t="shared" si="175"/>
        <v>-20.309999999999999</v>
      </c>
      <c r="R126" s="192">
        <f t="shared" si="169"/>
        <v>26.799999999999997</v>
      </c>
      <c r="S126" s="193" t="s">
        <v>87</v>
      </c>
      <c r="T126" s="192">
        <f t="shared" si="177"/>
        <v>7.2999999999999989</v>
      </c>
      <c r="U126" s="194">
        <f t="shared" si="171"/>
        <v>67.299999999999955</v>
      </c>
      <c r="V126" s="211">
        <f>IF(H125="AFIII",VLOOKUP(D126,Sheet1!$A$4:$H$18,5,FALSE),IF(H125="UBIII",VLOOKUP(D126,Sheet1!$A$4:$H$18,8,FALSE),IF(H125="",VLOOKUP(D126,Sheet1!$A$4:$H$18,2,FALSE),"0")))</f>
        <v>884</v>
      </c>
      <c r="W126" s="211">
        <f t="shared" si="150"/>
        <v>7033</v>
      </c>
      <c r="X126" s="212">
        <f t="shared" si="172"/>
        <v>7609</v>
      </c>
      <c r="Y126" s="195" t="str">
        <f t="shared" si="152"/>
        <v>SUCCESS</v>
      </c>
      <c r="Z126" s="195" t="str">
        <f t="shared" si="153"/>
        <v>SUCCESS</v>
      </c>
      <c r="AA126" s="185">
        <f t="shared" si="110"/>
        <v>158.47311897732058</v>
      </c>
    </row>
    <row r="127" spans="1:27">
      <c r="A127" s="112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168</v>
      </c>
      <c r="B127" s="113">
        <f t="shared" si="142"/>
        <v>49011</v>
      </c>
      <c r="C127" s="118">
        <f t="shared" si="168"/>
        <v>310.24000000000012</v>
      </c>
      <c r="D127" s="181" t="s">
        <v>3</v>
      </c>
      <c r="E127" s="182">
        <f>IF(H126="AFIII",VLOOKUP($D127,Sheet1!$A$34:$K$48,5,FALSE),IF(H126="UBIII",VLOOKUP($D127,Sheet1!$A$34:$K$48,8,FALSE),VLOOKUP($D127,Sheet1!$A$34:$K$48,2,FALSE)))</f>
        <v>1.67</v>
      </c>
      <c r="F127" s="182">
        <f>ROUNDDOWN((IF(H126="AFIII",VLOOKUP($D127,Sheet1!$A$34:$K$48,5,FALSE),IF(H126="UBIII",VLOOKUP($D127,Sheet1!$A$34:$K$48,8,FALSE),VLOOKUP($D127,Sheet1!$A$34:$K$48,2,FALSE))))*0.85,2)</f>
        <v>1.41</v>
      </c>
      <c r="G127" s="182">
        <f t="shared" si="173"/>
        <v>2.0299999999999998</v>
      </c>
      <c r="H127" s="183" t="s">
        <v>84</v>
      </c>
      <c r="I127" s="182">
        <v>10</v>
      </c>
      <c r="K127" s="182">
        <f>K126-G127</f>
        <v>17.97</v>
      </c>
      <c r="L127" s="182">
        <f t="shared" si="166"/>
        <v>19.049999999999997</v>
      </c>
      <c r="O127" s="182">
        <f t="shared" si="146"/>
        <v>73.049999999999869</v>
      </c>
      <c r="Q127" s="182">
        <f t="shared" si="175"/>
        <v>-22.34</v>
      </c>
      <c r="R127" s="182">
        <f t="shared" si="169"/>
        <v>24.769999999999996</v>
      </c>
      <c r="S127" s="183" t="s">
        <v>87</v>
      </c>
      <c r="T127" s="182">
        <f t="shared" si="177"/>
        <v>5.27</v>
      </c>
      <c r="U127" s="184">
        <f t="shared" si="171"/>
        <v>65.269999999999953</v>
      </c>
      <c r="V127" s="201">
        <f>IF(H126="AFIII",VLOOKUP(D127,Sheet1!$A$4:$H$18,5,FALSE),IF(H126="UBIII",VLOOKUP(D127,Sheet1!$A$4:$H$18,8,FALSE),IF(H126="",VLOOKUP(D127,Sheet1!$A$4:$H$18,2,FALSE),"0")))</f>
        <v>442</v>
      </c>
      <c r="W127" s="201">
        <f t="shared" si="150"/>
        <v>7033</v>
      </c>
      <c r="X127" s="208">
        <f t="shared" si="172"/>
        <v>10917</v>
      </c>
      <c r="Y127" s="171" t="str">
        <f t="shared" si="152"/>
        <v>SUCCESS</v>
      </c>
      <c r="Z127" s="171" t="str">
        <f t="shared" si="153"/>
        <v>SUCCESS</v>
      </c>
      <c r="AA127" s="185">
        <f t="shared" si="110"/>
        <v>157.97769468798344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504</v>
      </c>
      <c r="B128" s="113">
        <f t="shared" si="142"/>
        <v>49515</v>
      </c>
      <c r="C128" s="118">
        <f t="shared" si="168"/>
        <v>312.67000000000013</v>
      </c>
      <c r="D128" s="181" t="s">
        <v>5</v>
      </c>
      <c r="E128" s="182">
        <f>IF(H127="AFIII",VLOOKUP($D128,Sheet1!$A$34:$K$48,5,FALSE),IF(H127="UBIII",VLOOKUP($D128,Sheet1!$A$34:$K$48,8,FALSE),VLOOKUP($D128,Sheet1!$A$34:$K$48,2,FALSE)))</f>
        <v>2.86</v>
      </c>
      <c r="F128" s="182">
        <f>ROUNDDOWN((IF(H127="AFIII",VLOOKUP($D128,Sheet1!$A$34:$K$48,5,FALSE),IF(H127="UBIII",VLOOKUP($D128,Sheet1!$A$34:$K$48,8,FALSE),VLOOKUP($D128,Sheet1!$A$34:$K$48,2,FALSE))))*0.85,2)</f>
        <v>2.4300000000000002</v>
      </c>
      <c r="G128" s="182">
        <f t="shared" si="173"/>
        <v>2.4300000000000002</v>
      </c>
      <c r="H128" s="183" t="s">
        <v>84</v>
      </c>
      <c r="I128" s="182">
        <f>I127-G128</f>
        <v>7.57</v>
      </c>
      <c r="K128" s="182">
        <f t="shared" ref="K128:K134" si="178">K127-G128</f>
        <v>15.54</v>
      </c>
      <c r="L128" s="182">
        <f t="shared" si="166"/>
        <v>16.619999999999997</v>
      </c>
      <c r="O128" s="182">
        <f t="shared" si="146"/>
        <v>70.619999999999862</v>
      </c>
      <c r="Q128" s="182">
        <f t="shared" si="175"/>
        <v>-24.77</v>
      </c>
      <c r="R128" s="182">
        <f t="shared" si="169"/>
        <v>22.339999999999996</v>
      </c>
      <c r="S128" s="183" t="s">
        <v>87</v>
      </c>
      <c r="T128" s="182">
        <f t="shared" si="177"/>
        <v>2.8399999999999994</v>
      </c>
      <c r="U128" s="184">
        <f t="shared" si="171"/>
        <v>62.839999999999954</v>
      </c>
      <c r="V128" s="201">
        <f>IF(H127="AFIII",VLOOKUP(D128,Sheet1!$A$4:$H$18,5,FALSE),IF(H127="UBIII",VLOOKUP(D128,Sheet1!$A$4:$H$18,8,FALSE),IF(H127="",VLOOKUP(D128,Sheet1!$A$4:$H$18,2,FALSE),"0")))</f>
        <v>1768</v>
      </c>
      <c r="W128" s="201">
        <f t="shared" si="150"/>
        <v>0</v>
      </c>
      <c r="X128" s="208">
        <f t="shared" si="172"/>
        <v>9149</v>
      </c>
      <c r="Y128" s="171" t="str">
        <f t="shared" si="152"/>
        <v>SUCCESS</v>
      </c>
      <c r="Z128" s="171" t="str">
        <f t="shared" si="153"/>
        <v>SUCCESS</v>
      </c>
      <c r="AA128" s="185">
        <f t="shared" si="110"/>
        <v>158.36185115297272</v>
      </c>
    </row>
    <row r="129" spans="1:27">
      <c r="A129" s="11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504</v>
      </c>
      <c r="B129" s="113">
        <f t="shared" si="142"/>
        <v>50019</v>
      </c>
      <c r="C129" s="118">
        <f t="shared" si="168"/>
        <v>315.10000000000014</v>
      </c>
      <c r="D129" s="181" t="s">
        <v>5</v>
      </c>
      <c r="E129" s="182">
        <f>IF(H128="AFIII",VLOOKUP($D129,Sheet1!$A$34:$K$48,5,FALSE),IF(H128="UBIII",VLOOKUP($D129,Sheet1!$A$34:$K$48,8,FALSE),VLOOKUP($D129,Sheet1!$A$34:$K$48,2,FALSE)))</f>
        <v>2.86</v>
      </c>
      <c r="F129" s="182">
        <f>ROUNDDOWN((IF(H128="AFIII",VLOOKUP($D129,Sheet1!$A$34:$K$48,5,FALSE),IF(H128="UBIII",VLOOKUP($D129,Sheet1!$A$34:$K$48,8,FALSE),VLOOKUP($D129,Sheet1!$A$34:$K$48,2,FALSE))))*0.85,2)</f>
        <v>2.4300000000000002</v>
      </c>
      <c r="G129" s="182">
        <f t="shared" si="173"/>
        <v>2.4300000000000002</v>
      </c>
      <c r="H129" s="183" t="s">
        <v>84</v>
      </c>
      <c r="I129" s="182">
        <f t="shared" ref="I129" si="179">I128-G129</f>
        <v>5.1400000000000006</v>
      </c>
      <c r="K129" s="182">
        <f t="shared" si="178"/>
        <v>13.11</v>
      </c>
      <c r="L129" s="182">
        <f t="shared" si="166"/>
        <v>14.189999999999998</v>
      </c>
      <c r="O129" s="182">
        <f t="shared" si="146"/>
        <v>68.189999999999856</v>
      </c>
      <c r="Q129" s="182">
        <f t="shared" si="175"/>
        <v>-27.2</v>
      </c>
      <c r="R129" s="182">
        <f t="shared" si="169"/>
        <v>19.909999999999997</v>
      </c>
      <c r="T129" s="182">
        <f t="shared" si="177"/>
        <v>0.40999999999999925</v>
      </c>
      <c r="U129" s="184">
        <f t="shared" si="171"/>
        <v>60.409999999999954</v>
      </c>
      <c r="V129" s="201">
        <f>IF(H128="AFIII",VLOOKUP(D129,Sheet1!$A$4:$H$18,5,FALSE),IF(H128="UBIII",VLOOKUP(D129,Sheet1!$A$4:$H$18,8,FALSE),IF(H128="",VLOOKUP(D129,Sheet1!$A$4:$H$18,2,FALSE),"0")))</f>
        <v>1768</v>
      </c>
      <c r="W129" s="201">
        <f t="shared" si="150"/>
        <v>0</v>
      </c>
      <c r="X129" s="208">
        <f t="shared" si="172"/>
        <v>7381</v>
      </c>
      <c r="Y129" s="171" t="str">
        <f t="shared" si="152"/>
        <v>SUCCESS</v>
      </c>
      <c r="Z129" s="171" t="str">
        <f t="shared" si="153"/>
        <v>SUCCESS</v>
      </c>
      <c r="AA129" s="185">
        <f t="shared" si="110"/>
        <v>158.74008251348772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324</v>
      </c>
      <c r="B130" s="113">
        <f t="shared" si="142"/>
        <v>50343</v>
      </c>
      <c r="C130" s="118">
        <f t="shared" si="168"/>
        <v>317.49000000000012</v>
      </c>
      <c r="D130" s="181" t="s">
        <v>1</v>
      </c>
      <c r="E130" s="182">
        <f>IF(H129="AFIII",VLOOKUP($D130,Sheet1!$A$34:$K$48,5,FALSE),IF(H129="UBIII",VLOOKUP($D130,Sheet1!$A$34:$K$48,8,FALSE),VLOOKUP($D130,Sheet1!$A$34:$K$48,2,FALSE)))</f>
        <v>2.39</v>
      </c>
      <c r="F130" s="182">
        <f>ROUNDDOWN((IF(H129="AFIII",VLOOKUP($D130,Sheet1!$A$34:$K$48,5,FALSE),IF(H129="UBIII",VLOOKUP($D130,Sheet1!$A$34:$K$48,8,FALSE),VLOOKUP($D130,Sheet1!$A$34:$K$48,2,FALSE))))*0.85,2)</f>
        <v>2.0299999999999998</v>
      </c>
      <c r="G130" s="182">
        <f t="shared" si="173"/>
        <v>2.39</v>
      </c>
      <c r="H130" s="183" t="s">
        <v>84</v>
      </c>
      <c r="I130" s="182">
        <v>10</v>
      </c>
      <c r="K130" s="182">
        <f t="shared" si="178"/>
        <v>10.719999999999999</v>
      </c>
      <c r="L130" s="182">
        <f t="shared" si="166"/>
        <v>11.799999999999997</v>
      </c>
      <c r="O130" s="182">
        <f t="shared" si="146"/>
        <v>65.799999999999855</v>
      </c>
      <c r="Q130" s="182">
        <f t="shared" si="175"/>
        <v>-29.59</v>
      </c>
      <c r="R130" s="182">
        <f>R129-G130</f>
        <v>17.519999999999996</v>
      </c>
      <c r="U130" s="184">
        <f t="shared" si="171"/>
        <v>58.019999999999953</v>
      </c>
      <c r="V130" s="201">
        <f>IF(H129="AFIII",VLOOKUP(D130,Sheet1!$A$4:$H$18,5,FALSE),IF(H129="UBIII",VLOOKUP(D130,Sheet1!$A$4:$H$18,8,FALSE),IF(H129="",VLOOKUP(D130,Sheet1!$A$4:$H$18,2,FALSE),"0")))</f>
        <v>2120</v>
      </c>
      <c r="W130" s="201">
        <f t="shared" si="150"/>
        <v>0</v>
      </c>
      <c r="X130" s="208">
        <f t="shared" si="172"/>
        <v>5261</v>
      </c>
      <c r="Y130" s="171" t="str">
        <f t="shared" si="152"/>
        <v>SUCCESS</v>
      </c>
      <c r="Z130" s="171" t="str">
        <f t="shared" si="153"/>
        <v>SUCCESS</v>
      </c>
      <c r="AA130" s="185">
        <f t="shared" ref="AA130:AA159" si="180">B130/C130</f>
        <v>158.56562411414527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504</v>
      </c>
      <c r="B131" s="113">
        <f t="shared" si="142"/>
        <v>50847</v>
      </c>
      <c r="C131" s="118">
        <f t="shared" si="168"/>
        <v>320.35000000000014</v>
      </c>
      <c r="D131" s="181" t="s">
        <v>6</v>
      </c>
      <c r="E131" s="182">
        <f>IF(H130="AFIII",VLOOKUP($D131,Sheet1!$A$34:$K$48,5,FALSE),IF(H130="UBIII",VLOOKUP($D131,Sheet1!$A$34:$K$48,8,FALSE),VLOOKUP($D131,Sheet1!$A$34:$K$48,2,FALSE)))</f>
        <v>2.86</v>
      </c>
      <c r="F131" s="182">
        <f>ROUNDDOWN((IF(H130="AFIII",VLOOKUP($D131,Sheet1!$A$34:$K$48,5,FALSE),IF(H130="UBIII",VLOOKUP($D131,Sheet1!$A$34:$K$48,8,FALSE),VLOOKUP($D131,Sheet1!$A$34:$K$48,2,FALSE))))*0.85,2)</f>
        <v>2.4300000000000002</v>
      </c>
      <c r="G131" s="182">
        <f t="shared" si="173"/>
        <v>2.86</v>
      </c>
      <c r="H131" s="183" t="s">
        <v>84</v>
      </c>
      <c r="I131" s="182">
        <f>I130-G131</f>
        <v>7.1400000000000006</v>
      </c>
      <c r="K131" s="182">
        <f t="shared" si="178"/>
        <v>7.8599999999999994</v>
      </c>
      <c r="L131" s="182">
        <f t="shared" si="166"/>
        <v>8.9399999999999977</v>
      </c>
      <c r="O131" s="182">
        <f t="shared" si="146"/>
        <v>62.939999999999856</v>
      </c>
      <c r="Q131" s="182">
        <f t="shared" si="175"/>
        <v>-32.450000000000003</v>
      </c>
      <c r="R131" s="182">
        <f t="shared" ref="R131:R135" si="181">R130-G131</f>
        <v>14.659999999999997</v>
      </c>
      <c r="U131" s="184">
        <f t="shared" si="171"/>
        <v>55.159999999999954</v>
      </c>
      <c r="V131" s="201">
        <f>IF(H130="AFIII",VLOOKUP(D131,Sheet1!$A$4:$H$18,5,FALSE),IF(H130="UBIII",VLOOKUP(D131,Sheet1!$A$4:$H$18,8,FALSE),IF(H130="",VLOOKUP(D131,Sheet1!$A$4:$H$18,2,FALSE),"0")))</f>
        <v>1768</v>
      </c>
      <c r="W131" s="201">
        <f t="shared" si="150"/>
        <v>0</v>
      </c>
      <c r="X131" s="208">
        <f t="shared" si="172"/>
        <v>3493</v>
      </c>
      <c r="Y131" s="171" t="str">
        <f t="shared" si="152"/>
        <v>SUCCESS</v>
      </c>
      <c r="Z131" s="171" t="str">
        <f t="shared" si="153"/>
        <v>SUCCESS</v>
      </c>
      <c r="AA131" s="185">
        <f t="shared" si="180"/>
        <v>158.72327142188226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142"/>
        <v>51351</v>
      </c>
      <c r="C132" s="118">
        <f t="shared" si="168"/>
        <v>323.21000000000015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173"/>
        <v>2.86</v>
      </c>
      <c r="H132" s="183" t="s">
        <v>84</v>
      </c>
      <c r="I132" s="182">
        <f>I131-G132</f>
        <v>4.2800000000000011</v>
      </c>
      <c r="K132" s="182">
        <f t="shared" si="178"/>
        <v>5</v>
      </c>
      <c r="L132" s="182">
        <f t="shared" si="166"/>
        <v>6.0799999999999983</v>
      </c>
      <c r="O132" s="182">
        <f t="shared" si="146"/>
        <v>60.079999999999856</v>
      </c>
      <c r="Q132" s="182">
        <f t="shared" si="175"/>
        <v>-35.31</v>
      </c>
      <c r="R132" s="182">
        <f t="shared" si="181"/>
        <v>11.799999999999997</v>
      </c>
      <c r="U132" s="184">
        <f t="shared" si="171"/>
        <v>52.299999999999955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150"/>
        <v>0</v>
      </c>
      <c r="X132" s="208">
        <f t="shared" si="172"/>
        <v>1725</v>
      </c>
      <c r="Y132" s="171" t="str">
        <f t="shared" si="152"/>
        <v>SUCCESS</v>
      </c>
      <c r="Z132" s="171" t="str">
        <f t="shared" si="153"/>
        <v>SUCCESS</v>
      </c>
      <c r="AA132" s="185">
        <f t="shared" si="180"/>
        <v>158.87812877076817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168</v>
      </c>
      <c r="B133" s="113">
        <f t="shared" si="142"/>
        <v>51519</v>
      </c>
      <c r="C133" s="118">
        <f t="shared" si="168"/>
        <v>325.60000000000014</v>
      </c>
      <c r="D133" s="181" t="s">
        <v>12</v>
      </c>
      <c r="E133" s="182">
        <f>IF(H132="AFIII",VLOOKUP($D133,Sheet1!$A$34:$K$48,5,FALSE),IF(H132="UBIII",VLOOKUP($D133,Sheet1!$A$34:$K$48,8,FALSE),VLOOKUP($D133,Sheet1!$A$34:$K$48,2,FALSE)))</f>
        <v>1.67</v>
      </c>
      <c r="F133" s="182">
        <f>ROUNDDOWN((IF(H132="AFIII",VLOOKUP($D133,Sheet1!$A$34:$K$48,5,FALSE),IF(H132="UBIII",VLOOKUP($D133,Sheet1!$A$34:$K$48,8,FALSE),VLOOKUP($D133,Sheet1!$A$34:$K$48,2,FALSE))))*0.85,2)</f>
        <v>1.41</v>
      </c>
      <c r="G133" s="182">
        <f t="shared" si="173"/>
        <v>2.39</v>
      </c>
      <c r="H133" s="183" t="s">
        <v>122</v>
      </c>
      <c r="I133" s="182">
        <v>10</v>
      </c>
      <c r="K133" s="182">
        <f t="shared" si="178"/>
        <v>2.61</v>
      </c>
      <c r="L133" s="182">
        <f t="shared" si="166"/>
        <v>3.6899999999999982</v>
      </c>
      <c r="O133" s="182">
        <f t="shared" si="146"/>
        <v>57.689999999999856</v>
      </c>
      <c r="Q133" s="182">
        <f t="shared" si="175"/>
        <v>-37.700000000000003</v>
      </c>
      <c r="R133" s="182">
        <f t="shared" si="181"/>
        <v>9.4099999999999966</v>
      </c>
      <c r="U133" s="184">
        <f t="shared" si="171"/>
        <v>49.909999999999954</v>
      </c>
      <c r="V133" s="201">
        <f>IF(H132="AFIII",VLOOKUP(D133,Sheet1!$A$4:$H$18,5,FALSE),IF(H132="UBIII",VLOOKUP(D133,Sheet1!$A$4:$H$18,8,FALSE),IF(H132="",VLOOKUP(D133,Sheet1!$A$4:$H$18,2,FALSE),"0")))</f>
        <v>265</v>
      </c>
      <c r="W133" s="201">
        <f t="shared" si="150"/>
        <v>0</v>
      </c>
      <c r="X133" s="208">
        <f t="shared" si="172"/>
        <v>1460</v>
      </c>
      <c r="Y133" s="171" t="str">
        <f t="shared" si="152"/>
        <v>SUCCESS</v>
      </c>
      <c r="Z133" s="171" t="str">
        <f t="shared" si="153"/>
        <v>SUCCESS</v>
      </c>
      <c r="AA133" s="185">
        <f t="shared" si="180"/>
        <v>158.22788697788693</v>
      </c>
    </row>
    <row r="134" spans="1:27">
      <c r="A134" s="12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295</v>
      </c>
      <c r="B134" s="123">
        <f t="shared" si="142"/>
        <v>51814</v>
      </c>
      <c r="C134" s="124">
        <f t="shared" si="168"/>
        <v>328.46000000000015</v>
      </c>
      <c r="D134" s="186" t="s">
        <v>19</v>
      </c>
      <c r="E134" s="187">
        <f>IF(H133="AFIII",VLOOKUP($D134,Sheet1!$A$34:$K$48,5,FALSE),IF(H133="UBIII",VLOOKUP($D134,Sheet1!$A$34:$K$48,8,FALSE),VLOOKUP($D134,Sheet1!$A$34:$K$48,2,FALSE)))</f>
        <v>2.86</v>
      </c>
      <c r="F134" s="187">
        <f>ROUNDDOWN((IF(H133="AFIII",VLOOKUP($D134,Sheet1!$A$34:$K$48,5,FALSE),IF(H133="UBIII",VLOOKUP($D134,Sheet1!$A$34:$K$48,8,FALSE),VLOOKUP($D134,Sheet1!$A$34:$K$48,2,FALSE))))*0.85,2)</f>
        <v>2.4300000000000002</v>
      </c>
      <c r="G134" s="187">
        <f t="shared" si="173"/>
        <v>2.86</v>
      </c>
      <c r="H134" s="188" t="s">
        <v>122</v>
      </c>
      <c r="I134" s="187">
        <f>I133-G134</f>
        <v>7.1400000000000006</v>
      </c>
      <c r="J134" s="188"/>
      <c r="K134" s="187">
        <f t="shared" si="178"/>
        <v>-0.25</v>
      </c>
      <c r="L134" s="187">
        <f t="shared" si="166"/>
        <v>0.82999999999999829</v>
      </c>
      <c r="M134" s="188"/>
      <c r="N134" s="187"/>
      <c r="O134" s="187">
        <f t="shared" si="146"/>
        <v>54.829999999999856</v>
      </c>
      <c r="P134" s="188"/>
      <c r="Q134" s="187"/>
      <c r="R134" s="187">
        <f t="shared" si="181"/>
        <v>6.5499999999999972</v>
      </c>
      <c r="S134" s="188"/>
      <c r="T134" s="187"/>
      <c r="U134" s="189">
        <f t="shared" si="171"/>
        <v>47.049999999999955</v>
      </c>
      <c r="V134" s="209">
        <f>IF(H133="AFIII",VLOOKUP(D134,Sheet1!$A$4:$H$18,5,FALSE),IF(H133="UBIII",VLOOKUP(D134,Sheet1!$A$4:$H$18,8,FALSE),IF(H133="",VLOOKUP(D134,Sheet1!$A$4:$H$18,2,FALSE),"0")))</f>
        <v>1060</v>
      </c>
      <c r="W134" s="209">
        <f t="shared" si="150"/>
        <v>7033</v>
      </c>
      <c r="X134" s="210">
        <f t="shared" si="172"/>
        <v>7433</v>
      </c>
      <c r="Y134" s="190" t="str">
        <f t="shared" si="152"/>
        <v>SUCCESS</v>
      </c>
      <c r="Z134" s="190" t="str">
        <f t="shared" si="153"/>
        <v>ERROR</v>
      </c>
      <c r="AA134" s="185">
        <f t="shared" si="180"/>
        <v>157.74827985142781</v>
      </c>
    </row>
    <row r="135" spans="1:27">
      <c r="A135" s="112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168</v>
      </c>
      <c r="B135" s="113">
        <f t="shared" si="142"/>
        <v>51982</v>
      </c>
      <c r="C135" s="118">
        <f t="shared" si="168"/>
        <v>330.85000000000014</v>
      </c>
      <c r="D135" s="181" t="s">
        <v>4</v>
      </c>
      <c r="E135" s="182">
        <f>IF(H134="AFIII",VLOOKUP($D135,Sheet1!$A$34:$K$48,5,FALSE),IF(H134="UBIII",VLOOKUP($D135,Sheet1!$A$34:$K$48,8,FALSE),VLOOKUP($D135,Sheet1!$A$34:$K$48,2,FALSE)))</f>
        <v>1.67</v>
      </c>
      <c r="F135" s="182">
        <f>ROUNDDOWN((IF(H134="AFIII",VLOOKUP($D135,Sheet1!$A$34:$K$48,5,FALSE),IF(H134="UBIII",VLOOKUP($D135,Sheet1!$A$34:$K$48,8,FALSE),VLOOKUP($D135,Sheet1!$A$34:$K$48,2,FALSE))))*0.85,2)</f>
        <v>1.41</v>
      </c>
      <c r="G135" s="182">
        <f t="shared" si="173"/>
        <v>2.39</v>
      </c>
      <c r="H135" s="183" t="s">
        <v>84</v>
      </c>
      <c r="I135" s="182">
        <v>10</v>
      </c>
      <c r="J135" s="183" t="s">
        <v>105</v>
      </c>
      <c r="K135" s="182">
        <v>30</v>
      </c>
      <c r="L135" s="182">
        <v>60</v>
      </c>
      <c r="O135" s="182">
        <f t="shared" si="146"/>
        <v>52.439999999999856</v>
      </c>
      <c r="R135" s="182">
        <f t="shared" si="181"/>
        <v>4.1599999999999966</v>
      </c>
      <c r="U135" s="184">
        <f t="shared" si="171"/>
        <v>44.659999999999954</v>
      </c>
      <c r="V135" s="201">
        <f>IF(H134="AFIII",VLOOKUP(D135,Sheet1!$A$4:$H$18,5,FALSE),IF(H134="UBIII",VLOOKUP(D135,Sheet1!$A$4:$H$18,8,FALSE),IF(H134="",VLOOKUP(D135,Sheet1!$A$4:$H$18,2,FALSE),"0")))</f>
        <v>442</v>
      </c>
      <c r="W135" s="201">
        <f t="shared" si="150"/>
        <v>7033</v>
      </c>
      <c r="X135" s="208">
        <f t="shared" si="172"/>
        <v>10917</v>
      </c>
      <c r="Y135" s="171" t="str">
        <f t="shared" si="152"/>
        <v>SUCCESS</v>
      </c>
      <c r="Z135" s="171" t="str">
        <f t="shared" si="153"/>
        <v>ERROR</v>
      </c>
      <c r="AA135" s="185">
        <f t="shared" si="180"/>
        <v>157.11651805954352</v>
      </c>
    </row>
    <row r="136" spans="1:27">
      <c r="A136" s="112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504</v>
      </c>
      <c r="B136" s="113">
        <f t="shared" si="142"/>
        <v>52486</v>
      </c>
      <c r="C136" s="118">
        <f t="shared" si="168"/>
        <v>333.71000000000015</v>
      </c>
      <c r="D136" s="181" t="s">
        <v>6</v>
      </c>
      <c r="E136" s="182">
        <f>IF(H135="AFIII",VLOOKUP($D136,Sheet1!$A$34:$K$48,5,FALSE),IF(H135="UBIII",VLOOKUP($D136,Sheet1!$A$34:$K$48,8,FALSE),VLOOKUP($D136,Sheet1!$A$34:$K$48,2,FALSE)))</f>
        <v>2.86</v>
      </c>
      <c r="F136" s="182">
        <f>ROUNDDOWN((IF(H135="AFIII",VLOOKUP($D136,Sheet1!$A$34:$K$48,5,FALSE),IF(H135="UBIII",VLOOKUP($D136,Sheet1!$A$34:$K$48,8,FALSE),VLOOKUP($D136,Sheet1!$A$34:$K$48,2,FALSE))))*0.85,2)</f>
        <v>2.4300000000000002</v>
      </c>
      <c r="G136" s="182">
        <f>IF(M135="迅速",IF(S135="黒魔紋",$F$1,$E$1),IF(S135="黒魔紋",IF(F136&lt;$F$1,$F$1,F136),IF(E136&lt;$E$1,$E$1,E136)))</f>
        <v>2.86</v>
      </c>
      <c r="H136" s="183" t="s">
        <v>84</v>
      </c>
      <c r="I136" s="182">
        <f>I135-G136</f>
        <v>7.1400000000000006</v>
      </c>
      <c r="K136" s="182">
        <f>K135-G136</f>
        <v>27.14</v>
      </c>
      <c r="L136" s="182">
        <f>L135-G136</f>
        <v>57.14</v>
      </c>
      <c r="N136" s="182">
        <v>20</v>
      </c>
      <c r="O136" s="182">
        <f t="shared" si="146"/>
        <v>49.579999999999856</v>
      </c>
      <c r="U136" s="184">
        <f t="shared" si="171"/>
        <v>41.799999999999955</v>
      </c>
      <c r="V136" s="201">
        <f>IF(H135="AFIII",VLOOKUP(D136,Sheet1!$A$4:$H$18,5,FALSE),IF(H135="UBIII",VLOOKUP(D136,Sheet1!$A$4:$H$18,8,FALSE),IF(H135="",VLOOKUP(D136,Sheet1!$A$4:$H$18,2,FALSE),"0")))</f>
        <v>1768</v>
      </c>
      <c r="W136" s="201">
        <f t="shared" si="150"/>
        <v>0</v>
      </c>
      <c r="X136" s="208">
        <f t="shared" si="172"/>
        <v>9149</v>
      </c>
      <c r="Y136" s="171" t="str">
        <f t="shared" si="152"/>
        <v>SUCCESS</v>
      </c>
      <c r="Z136" s="171" t="str">
        <f t="shared" si="153"/>
        <v>SUCCESS</v>
      </c>
      <c r="AA136" s="185">
        <f t="shared" si="180"/>
        <v>157.28027329118089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604</v>
      </c>
      <c r="B137" s="113">
        <f t="shared" si="142"/>
        <v>53090</v>
      </c>
      <c r="C137" s="118">
        <f t="shared" si="168"/>
        <v>336.57000000000016</v>
      </c>
      <c r="D137" s="181" t="s">
        <v>6</v>
      </c>
      <c r="E137" s="182">
        <f>IF(H136="AFIII",VLOOKUP($D137,Sheet1!$A$34:$K$48,5,FALSE),IF(H136="UBIII",VLOOKUP($D137,Sheet1!$A$34:$K$48,8,FALSE),VLOOKUP($D137,Sheet1!$A$34:$K$48,2,FALSE)))</f>
        <v>2.86</v>
      </c>
      <c r="F137" s="182">
        <f>ROUNDDOWN((IF(H136="AFIII",VLOOKUP($D137,Sheet1!$A$34:$K$48,5,FALSE),IF(H136="UBIII",VLOOKUP($D137,Sheet1!$A$34:$K$48,8,FALSE),VLOOKUP($D137,Sheet1!$A$34:$K$48,2,FALSE))))*0.85,2)</f>
        <v>2.4300000000000002</v>
      </c>
      <c r="G137" s="182">
        <f t="shared" ref="G137:G149" si="182">IF(M136="迅速",IF(S136="黒魔紋",$F$1,$E$1),IF(S136="黒魔紋",IF(F137&lt;$F$1,$F$1,F137),IF(E137&lt;$E$1,$E$1,E137)))</f>
        <v>2.86</v>
      </c>
      <c r="H137" s="183" t="s">
        <v>84</v>
      </c>
      <c r="I137" s="182">
        <f t="shared" ref="I137" si="183">I136-G137</f>
        <v>4.2800000000000011</v>
      </c>
      <c r="K137" s="182">
        <f t="shared" ref="K137:K138" si="184">K136-G137</f>
        <v>24.28</v>
      </c>
      <c r="L137" s="182">
        <f t="shared" ref="L137:L138" si="185">L136-G137</f>
        <v>54.28</v>
      </c>
      <c r="N137" s="182">
        <f>N136-G137</f>
        <v>17.14</v>
      </c>
      <c r="O137" s="182">
        <f t="shared" si="146"/>
        <v>46.719999999999857</v>
      </c>
      <c r="P137" s="183" t="s">
        <v>131</v>
      </c>
      <c r="R137" s="182">
        <v>60</v>
      </c>
      <c r="U137" s="184">
        <f t="shared" si="171"/>
        <v>38.939999999999955</v>
      </c>
      <c r="V137" s="201">
        <f>IF(H136="AFIII",VLOOKUP(D137,Sheet1!$A$4:$H$18,5,FALSE),IF(H136="UBIII",VLOOKUP(D137,Sheet1!$A$4:$H$18,8,FALSE),IF(H136="",VLOOKUP(D137,Sheet1!$A$4:$H$18,2,FALSE),"0")))</f>
        <v>1768</v>
      </c>
      <c r="W137" s="201">
        <f t="shared" si="150"/>
        <v>0</v>
      </c>
      <c r="X137" s="208">
        <f t="shared" si="172"/>
        <v>7381</v>
      </c>
      <c r="Y137" s="171" t="str">
        <f t="shared" si="152"/>
        <v>SUCCESS</v>
      </c>
      <c r="Z137" s="171" t="str">
        <f t="shared" si="153"/>
        <v>SUCCESS</v>
      </c>
      <c r="AA137" s="185">
        <f t="shared" si="180"/>
        <v>157.73836051935697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388</v>
      </c>
      <c r="B138" s="113">
        <f t="shared" si="142"/>
        <v>53478</v>
      </c>
      <c r="C138" s="118">
        <f t="shared" si="168"/>
        <v>338.96000000000015</v>
      </c>
      <c r="D138" s="181" t="s">
        <v>1</v>
      </c>
      <c r="E138" s="182">
        <f>IF(H137="AFIII",VLOOKUP($D138,Sheet1!$A$34:$K$48,5,FALSE),IF(H137="UBIII",VLOOKUP($D138,Sheet1!$A$34:$K$48,8,FALSE),VLOOKUP($D138,Sheet1!$A$34:$K$48,2,FALSE)))</f>
        <v>2.39</v>
      </c>
      <c r="F138" s="182">
        <f>ROUNDDOWN((IF(H137="AFIII",VLOOKUP($D138,Sheet1!$A$34:$K$48,5,FALSE),IF(H137="UBIII",VLOOKUP($D138,Sheet1!$A$34:$K$48,8,FALSE),VLOOKUP($D138,Sheet1!$A$34:$K$48,2,FALSE))))*0.85,2)</f>
        <v>2.0299999999999998</v>
      </c>
      <c r="G138" s="182">
        <f t="shared" si="182"/>
        <v>2.39</v>
      </c>
      <c r="H138" s="183" t="s">
        <v>84</v>
      </c>
      <c r="I138" s="182">
        <v>10</v>
      </c>
      <c r="K138" s="182">
        <f t="shared" si="184"/>
        <v>21.89</v>
      </c>
      <c r="L138" s="182">
        <f t="shared" si="185"/>
        <v>51.89</v>
      </c>
      <c r="N138" s="182">
        <f t="shared" ref="N138" si="186">N137-G138</f>
        <v>14.75</v>
      </c>
      <c r="O138" s="182">
        <f t="shared" si="146"/>
        <v>44.329999999999856</v>
      </c>
      <c r="R138" s="182">
        <f t="shared" ref="R138:R140" si="187">R137-G138</f>
        <v>57.61</v>
      </c>
      <c r="U138" s="184">
        <f t="shared" si="171"/>
        <v>36.549999999999955</v>
      </c>
      <c r="V138" s="201">
        <f>IF(H137="AFIII",VLOOKUP(D138,Sheet1!$A$4:$H$18,5,FALSE),IF(H137="UBIII",VLOOKUP(D138,Sheet1!$A$4:$H$18,8,FALSE),IF(H137="",VLOOKUP(D138,Sheet1!$A$4:$H$18,2,FALSE),"0")))</f>
        <v>2120</v>
      </c>
      <c r="W138" s="201">
        <f t="shared" si="150"/>
        <v>0</v>
      </c>
      <c r="X138" s="208">
        <f t="shared" si="172"/>
        <v>5261</v>
      </c>
      <c r="Y138" s="171" t="str">
        <f t="shared" si="152"/>
        <v>SUCCESS</v>
      </c>
      <c r="Z138" s="171" t="str">
        <f t="shared" si="153"/>
        <v>SUCCESS</v>
      </c>
      <c r="AA138" s="185">
        <f t="shared" si="180"/>
        <v>157.77082841633225</v>
      </c>
    </row>
    <row r="139" spans="1:27">
      <c r="A139" s="112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604</v>
      </c>
      <c r="B139" s="113">
        <f t="shared" si="142"/>
        <v>54082</v>
      </c>
      <c r="C139" s="118">
        <f t="shared" si="168"/>
        <v>341.82000000000016</v>
      </c>
      <c r="D139" s="181" t="s">
        <v>6</v>
      </c>
      <c r="E139" s="182">
        <f>IF(H138="AFIII",VLOOKUP($D139,Sheet1!$A$34:$K$48,5,FALSE),IF(H138="UBIII",VLOOKUP($D139,Sheet1!$A$34:$K$48,8,FALSE),VLOOKUP($D139,Sheet1!$A$34:$K$48,2,FALSE)))</f>
        <v>2.86</v>
      </c>
      <c r="F139" s="182">
        <f>ROUNDDOWN((IF(H138="AFIII",VLOOKUP($D139,Sheet1!$A$34:$K$48,5,FALSE),IF(H138="UBIII",VLOOKUP($D139,Sheet1!$A$34:$K$48,8,FALSE),VLOOKUP($D139,Sheet1!$A$34:$K$48,2,FALSE))))*0.85,2)</f>
        <v>2.4300000000000002</v>
      </c>
      <c r="G139" s="182">
        <f t="shared" si="182"/>
        <v>2.86</v>
      </c>
      <c r="H139" s="183" t="s">
        <v>84</v>
      </c>
      <c r="I139" s="182">
        <f>I138-G139</f>
        <v>7.1400000000000006</v>
      </c>
      <c r="K139" s="182">
        <f>K138-G139</f>
        <v>19.03</v>
      </c>
      <c r="L139" s="182">
        <f>L138-G139</f>
        <v>49.03</v>
      </c>
      <c r="N139" s="182">
        <f>N138-G139</f>
        <v>11.89</v>
      </c>
      <c r="O139" s="182">
        <f t="shared" si="146"/>
        <v>41.469999999999857</v>
      </c>
      <c r="R139" s="182">
        <f t="shared" si="187"/>
        <v>54.75</v>
      </c>
      <c r="U139" s="184">
        <f t="shared" si="171"/>
        <v>33.689999999999955</v>
      </c>
      <c r="V139" s="201">
        <f>IF(H138="AFIII",VLOOKUP(D139,Sheet1!$A$4:$H$18,5,FALSE),IF(H138="UBIII",VLOOKUP(D139,Sheet1!$A$4:$H$18,8,FALSE),IF(H138="",VLOOKUP(D139,Sheet1!$A$4:$H$18,2,FALSE),"0")))</f>
        <v>1768</v>
      </c>
      <c r="W139" s="201">
        <f t="shared" si="150"/>
        <v>0</v>
      </c>
      <c r="X139" s="208">
        <f t="shared" si="172"/>
        <v>3493</v>
      </c>
      <c r="Y139" s="171" t="str">
        <f t="shared" si="152"/>
        <v>SUCCESS</v>
      </c>
      <c r="Z139" s="171" t="str">
        <f t="shared" si="153"/>
        <v>SUCCESS</v>
      </c>
      <c r="AA139" s="185">
        <f t="shared" si="180"/>
        <v>158.21777543736462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604</v>
      </c>
      <c r="B140" s="113">
        <f t="shared" si="142"/>
        <v>54686</v>
      </c>
      <c r="C140" s="118">
        <f t="shared" si="168"/>
        <v>344.68000000000018</v>
      </c>
      <c r="D140" s="181" t="s">
        <v>6</v>
      </c>
      <c r="E140" s="182">
        <f>IF(H139="AFIII",VLOOKUP($D140,Sheet1!$A$34:$K$48,5,FALSE),IF(H139="UBIII",VLOOKUP($D140,Sheet1!$A$34:$K$48,8,FALSE),VLOOKUP($D140,Sheet1!$A$34:$K$48,2,FALSE)))</f>
        <v>2.86</v>
      </c>
      <c r="F140" s="182">
        <f>ROUNDDOWN((IF(H139="AFIII",VLOOKUP($D140,Sheet1!$A$34:$K$48,5,FALSE),IF(H139="UBIII",VLOOKUP($D140,Sheet1!$A$34:$K$48,8,FALSE),VLOOKUP($D140,Sheet1!$A$34:$K$48,2,FALSE))))*0.85,2)</f>
        <v>2.4300000000000002</v>
      </c>
      <c r="G140" s="182">
        <f t="shared" si="182"/>
        <v>2.86</v>
      </c>
      <c r="H140" s="183" t="s">
        <v>84</v>
      </c>
      <c r="I140" s="182">
        <f>I139-G140</f>
        <v>4.2800000000000011</v>
      </c>
      <c r="K140" s="182">
        <f t="shared" ref="K140:K142" si="188">K139-G140</f>
        <v>16.170000000000002</v>
      </c>
      <c r="L140" s="182">
        <f t="shared" ref="L140:L159" si="189">L139-G140</f>
        <v>46.17</v>
      </c>
      <c r="N140" s="182">
        <f t="shared" ref="N140:N142" si="190">N139-G140</f>
        <v>9.0300000000000011</v>
      </c>
      <c r="O140" s="182">
        <f t="shared" si="146"/>
        <v>38.609999999999857</v>
      </c>
      <c r="R140" s="182">
        <f t="shared" si="187"/>
        <v>51.89</v>
      </c>
      <c r="U140" s="184">
        <f t="shared" si="171"/>
        <v>30.829999999999956</v>
      </c>
      <c r="V140" s="201">
        <f>IF(H139="AFIII",VLOOKUP(D140,Sheet1!$A$4:$H$18,5,FALSE),IF(H139="UBIII",VLOOKUP(D140,Sheet1!$A$4:$H$18,8,FALSE),IF(H139="",VLOOKUP(D140,Sheet1!$A$4:$H$18,2,FALSE),"0")))</f>
        <v>1768</v>
      </c>
      <c r="W140" s="201">
        <f t="shared" si="150"/>
        <v>0</v>
      </c>
      <c r="X140" s="208">
        <f t="shared" si="172"/>
        <v>1725</v>
      </c>
      <c r="Y140" s="171" t="str">
        <f t="shared" si="152"/>
        <v>SUCCESS</v>
      </c>
      <c r="Z140" s="171" t="str">
        <f t="shared" si="153"/>
        <v>SUCCESS</v>
      </c>
      <c r="AA140" s="185">
        <f t="shared" si="180"/>
        <v>158.65730532667973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518</v>
      </c>
      <c r="B141" s="113">
        <f t="shared" si="142"/>
        <v>55204</v>
      </c>
      <c r="C141" s="118">
        <f>C140+G141</f>
        <v>347.07000000000016</v>
      </c>
      <c r="D141" s="181" t="s">
        <v>129</v>
      </c>
      <c r="E141" s="182">
        <f>IF(H140="AFIII",VLOOKUP($D141,Sheet1!$A$34:$K$48,5,FALSE),IF(H140="UBIII",VLOOKUP($D141,Sheet1!$A$34:$K$48,8,FALSE),VLOOKUP($D141,Sheet1!$A$34:$K$48,2,FALSE)))</f>
        <v>2.39</v>
      </c>
      <c r="F141" s="182">
        <f>ROUNDDOWN((IF(H140="AFIII",VLOOKUP($D141,Sheet1!$A$34:$K$48,5,FALSE),IF(H140="UBIII",VLOOKUP($D141,Sheet1!$A$34:$K$48,8,FALSE),VLOOKUP($D141,Sheet1!$A$34:$K$48,2,FALSE))))*0.85,2)</f>
        <v>2.0299999999999998</v>
      </c>
      <c r="G141" s="182">
        <f t="shared" si="182"/>
        <v>2.39</v>
      </c>
      <c r="H141" s="183" t="s">
        <v>84</v>
      </c>
      <c r="I141" s="182">
        <v>10</v>
      </c>
      <c r="K141" s="182">
        <f t="shared" si="188"/>
        <v>13.780000000000001</v>
      </c>
      <c r="L141" s="182">
        <f t="shared" si="189"/>
        <v>43.78</v>
      </c>
      <c r="N141" s="182">
        <f t="shared" si="190"/>
        <v>6.6400000000000006</v>
      </c>
      <c r="O141" s="182">
        <f t="shared" si="146"/>
        <v>36.219999999999857</v>
      </c>
      <c r="R141" s="182">
        <f>R140-G141</f>
        <v>49.5</v>
      </c>
      <c r="U141" s="184">
        <f t="shared" si="171"/>
        <v>28.439999999999955</v>
      </c>
      <c r="V141" s="201">
        <f>IF(H140="AFIII",VLOOKUP(D141,Sheet1!$A$4:$H$18,5,FALSE),IF(H140="UBIII",VLOOKUP(D141,Sheet1!$A$4:$H$18,8,FALSE),IF(H140="",VLOOKUP(D141,Sheet1!$A$4:$H$18,2,FALSE),"0")))</f>
        <v>0</v>
      </c>
      <c r="W141" s="201">
        <f t="shared" si="150"/>
        <v>0</v>
      </c>
      <c r="X141" s="208">
        <f>IF(M141="コンバート",(IF(D141="フレア",0,IF(X140-V141+W141&gt;$X$3,$X$3-V141,X140-V141+W141)))+$X$1,IF(D141="フレア",0,IF(X140-V141+W141&gt;$X$3,$X$3-V141,X140-V141+W141)))</f>
        <v>1725</v>
      </c>
      <c r="Y141" s="171" t="str">
        <f t="shared" si="152"/>
        <v>SUCCESS</v>
      </c>
      <c r="Z141" s="171" t="str">
        <f t="shared" si="153"/>
        <v>SUCCESS</v>
      </c>
      <c r="AA141" s="185">
        <f t="shared" si="180"/>
        <v>159.05725069870624</v>
      </c>
    </row>
    <row r="142" spans="1:27">
      <c r="A142" s="112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201</v>
      </c>
      <c r="B142" s="113">
        <f t="shared" si="142"/>
        <v>55405</v>
      </c>
      <c r="C142" s="118">
        <f t="shared" ref="C142:C159" si="191">C141+G142</f>
        <v>349.46000000000015</v>
      </c>
      <c r="D142" s="181" t="s">
        <v>12</v>
      </c>
      <c r="E142" s="182">
        <f>IF(H141="AFIII",VLOOKUP($D142,Sheet1!$A$34:$K$48,5,FALSE),IF(H141="UBIII",VLOOKUP($D142,Sheet1!$A$34:$K$48,8,FALSE),VLOOKUP($D142,Sheet1!$A$34:$K$48,2,FALSE)))</f>
        <v>1.67</v>
      </c>
      <c r="F142" s="182">
        <f>ROUNDDOWN((IF(H141="AFIII",VLOOKUP($D142,Sheet1!$A$34:$K$48,5,FALSE),IF(H141="UBIII",VLOOKUP($D142,Sheet1!$A$34:$K$48,8,FALSE),VLOOKUP($D142,Sheet1!$A$34:$K$48,2,FALSE))))*0.85,2)</f>
        <v>1.41</v>
      </c>
      <c r="G142" s="182">
        <f>IF(M141="迅速",IF(S141="黒魔紋",$F$1,$E$1),IF(S141="黒魔紋",IF(F142&lt;$F$1,$F$1,F142),IF(E142&lt;$E$1,$E$1,E142)))</f>
        <v>2.39</v>
      </c>
      <c r="H142" s="183" t="s">
        <v>122</v>
      </c>
      <c r="I142" s="182">
        <v>10</v>
      </c>
      <c r="K142" s="182">
        <f t="shared" si="188"/>
        <v>11.39</v>
      </c>
      <c r="L142" s="182">
        <f t="shared" si="189"/>
        <v>41.39</v>
      </c>
      <c r="N142" s="182">
        <f t="shared" si="190"/>
        <v>4.25</v>
      </c>
      <c r="O142" s="182">
        <f t="shared" si="146"/>
        <v>33.829999999999856</v>
      </c>
      <c r="R142" s="182">
        <f t="shared" ref="R142:R154" si="192">R141-G142</f>
        <v>47.11</v>
      </c>
      <c r="U142" s="184">
        <f t="shared" si="171"/>
        <v>26.049999999999955</v>
      </c>
      <c r="V142" s="201">
        <f>IF(H141="AFIII",VLOOKUP(D142,Sheet1!$A$4:$H$18,5,FALSE),IF(H141="UBIII",VLOOKUP(D142,Sheet1!$A$4:$H$18,8,FALSE),IF(H141="",VLOOKUP(D142,Sheet1!$A$4:$H$18,2,FALSE),"0")))</f>
        <v>265</v>
      </c>
      <c r="W142" s="201">
        <f t="shared" si="150"/>
        <v>0</v>
      </c>
      <c r="X142" s="208">
        <f t="shared" ref="X142:X159" si="193">IF(M142="コンバート",(IF(D142="フレア",0,IF(X141-V142+W142&gt;$X$3,$X$3-V142,X141-V142+W142)))+$X$1,IF(D142="フレア",0,IF(X141-V142+W142&gt;$X$3,$X$3-V142,X141-V142+W142)))</f>
        <v>1460</v>
      </c>
      <c r="Y142" s="171" t="str">
        <f t="shared" si="152"/>
        <v>SUCCESS</v>
      </c>
      <c r="Z142" s="171" t="str">
        <f t="shared" si="153"/>
        <v>SUCCESS</v>
      </c>
      <c r="AA142" s="185">
        <f t="shared" si="180"/>
        <v>158.54461168660211</v>
      </c>
    </row>
    <row r="143" spans="1:27">
      <c r="A143" s="119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336</v>
      </c>
      <c r="B143" s="120">
        <f t="shared" si="142"/>
        <v>55741</v>
      </c>
      <c r="C143" s="121">
        <f t="shared" si="191"/>
        <v>352.32000000000016</v>
      </c>
      <c r="D143" s="191" t="s">
        <v>14</v>
      </c>
      <c r="E143" s="192">
        <f>IF(H142="AFIII",VLOOKUP($D143,Sheet1!$A$34:$K$48,5,FALSE),IF(H142="UBIII",VLOOKUP($D143,Sheet1!$A$34:$K$48,8,FALSE),VLOOKUP($D143,Sheet1!$A$34:$K$48,2,FALSE)))</f>
        <v>2.86</v>
      </c>
      <c r="F143" s="192">
        <f>ROUNDDOWN((IF(H142="AFIII",VLOOKUP($D143,Sheet1!$A$34:$K$48,5,FALSE),IF(H142="UBIII",VLOOKUP($D143,Sheet1!$A$34:$K$48,8,FALSE),VLOOKUP($D143,Sheet1!$A$34:$K$48,2,FALSE))))*0.85,2)</f>
        <v>2.4300000000000002</v>
      </c>
      <c r="G143" s="192">
        <f t="shared" ref="G143:G159" si="194">IF(M142="迅速",IF(S142="黒魔紋",$F$1,$E$1),IF(S142="黒魔紋",IF(F143&lt;$F$1,$F$1,F143),IF(E143&lt;$E$1,$E$1,E143)))</f>
        <v>2.86</v>
      </c>
      <c r="H143" s="193" t="s">
        <v>122</v>
      </c>
      <c r="I143" s="192">
        <f t="shared" ref="I143" si="195">I142-G143</f>
        <v>7.1400000000000006</v>
      </c>
      <c r="J143" s="193"/>
      <c r="K143" s="192">
        <v>25</v>
      </c>
      <c r="L143" s="192">
        <f t="shared" si="189"/>
        <v>38.53</v>
      </c>
      <c r="M143" s="193"/>
      <c r="N143" s="192"/>
      <c r="O143" s="192">
        <f t="shared" si="146"/>
        <v>30.969999999999857</v>
      </c>
      <c r="P143" s="193"/>
      <c r="Q143" s="192">
        <f>Q142-G143</f>
        <v>-2.86</v>
      </c>
      <c r="R143" s="192">
        <f t="shared" si="192"/>
        <v>44.25</v>
      </c>
      <c r="S143" s="193"/>
      <c r="T143" s="192"/>
      <c r="U143" s="194">
        <f t="shared" si="171"/>
        <v>23.189999999999955</v>
      </c>
      <c r="V143" s="211">
        <f>IF(H142="AFIII",VLOOKUP(D143,Sheet1!$A$4:$H$18,5,FALSE),IF(H142="UBIII",VLOOKUP(D143,Sheet1!$A$4:$H$18,8,FALSE),IF(H142="",VLOOKUP(D143,Sheet1!$A$4:$H$18,2,FALSE),"0")))</f>
        <v>884</v>
      </c>
      <c r="W143" s="211">
        <f t="shared" si="150"/>
        <v>7033</v>
      </c>
      <c r="X143" s="212">
        <f t="shared" si="193"/>
        <v>7609</v>
      </c>
      <c r="Y143" s="195" t="str">
        <f t="shared" si="152"/>
        <v>SUCCESS</v>
      </c>
      <c r="Z143" s="195" t="str">
        <f t="shared" si="153"/>
        <v>SUCCESS</v>
      </c>
      <c r="AA143" s="185">
        <f t="shared" si="180"/>
        <v>158.21128519527696</v>
      </c>
    </row>
    <row r="144" spans="1:27">
      <c r="A144" s="11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168</v>
      </c>
      <c r="B144" s="113">
        <f t="shared" si="142"/>
        <v>55909</v>
      </c>
      <c r="C144" s="118">
        <f t="shared" si="191"/>
        <v>354.71000000000015</v>
      </c>
      <c r="D144" s="181" t="s">
        <v>4</v>
      </c>
      <c r="E144" s="182">
        <f>IF(H143="AFIII",VLOOKUP($D144,Sheet1!$A$34:$K$48,5,FALSE),IF(H143="UBIII",VLOOKUP($D144,Sheet1!$A$34:$K$48,8,FALSE),VLOOKUP($D144,Sheet1!$A$34:$K$48,2,FALSE)))</f>
        <v>1.67</v>
      </c>
      <c r="F144" s="182">
        <f>ROUNDDOWN((IF(H143="AFIII",VLOOKUP($D144,Sheet1!$A$34:$K$48,5,FALSE),IF(H143="UBIII",VLOOKUP($D144,Sheet1!$A$34:$K$48,8,FALSE),VLOOKUP($D144,Sheet1!$A$34:$K$48,2,FALSE))))*0.85,2)</f>
        <v>1.41</v>
      </c>
      <c r="G144" s="182">
        <f t="shared" si="194"/>
        <v>2.39</v>
      </c>
      <c r="H144" s="183" t="s">
        <v>84</v>
      </c>
      <c r="I144" s="182">
        <v>10</v>
      </c>
      <c r="K144" s="182">
        <f>K143-G144</f>
        <v>22.61</v>
      </c>
      <c r="L144" s="182">
        <f t="shared" si="189"/>
        <v>36.14</v>
      </c>
      <c r="O144" s="182">
        <f t="shared" si="146"/>
        <v>28.579999999999856</v>
      </c>
      <c r="Q144" s="182">
        <f t="shared" ref="Q144:Q158" si="196">Q143-G144</f>
        <v>-5.25</v>
      </c>
      <c r="R144" s="182">
        <f t="shared" si="192"/>
        <v>41.86</v>
      </c>
      <c r="U144" s="184">
        <f t="shared" si="171"/>
        <v>20.799999999999955</v>
      </c>
      <c r="V144" s="201">
        <f>IF(H143="AFIII",VLOOKUP(D144,Sheet1!$A$4:$H$18,5,FALSE),IF(H143="UBIII",VLOOKUP(D144,Sheet1!$A$4:$H$18,8,FALSE),IF(H143="",VLOOKUP(D144,Sheet1!$A$4:$H$18,2,FALSE),"0")))</f>
        <v>442</v>
      </c>
      <c r="W144" s="201">
        <f t="shared" si="150"/>
        <v>7033</v>
      </c>
      <c r="X144" s="208">
        <f t="shared" si="193"/>
        <v>10917</v>
      </c>
      <c r="Y144" s="171" t="str">
        <f t="shared" si="152"/>
        <v>SUCCESS</v>
      </c>
      <c r="Z144" s="171" t="str">
        <f t="shared" si="153"/>
        <v>SUCCESS</v>
      </c>
      <c r="AA144" s="185">
        <f t="shared" si="180"/>
        <v>157.61889994643505</v>
      </c>
    </row>
    <row r="145" spans="1:27">
      <c r="A145" s="112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504</v>
      </c>
      <c r="B145" s="113">
        <f t="shared" si="142"/>
        <v>56413</v>
      </c>
      <c r="C145" s="118">
        <f t="shared" si="191"/>
        <v>357.57000000000016</v>
      </c>
      <c r="D145" s="181" t="s">
        <v>6</v>
      </c>
      <c r="E145" s="182">
        <f>IF(H144="AFIII",VLOOKUP($D145,Sheet1!$A$34:$K$48,5,FALSE),IF(H144="UBIII",VLOOKUP($D145,Sheet1!$A$34:$K$48,8,FALSE),VLOOKUP($D145,Sheet1!$A$34:$K$48,2,FALSE)))</f>
        <v>2.86</v>
      </c>
      <c r="F145" s="182">
        <f>ROUNDDOWN((IF(H144="AFIII",VLOOKUP($D145,Sheet1!$A$34:$K$48,5,FALSE),IF(H144="UBIII",VLOOKUP($D145,Sheet1!$A$34:$K$48,8,FALSE),VLOOKUP($D145,Sheet1!$A$34:$K$48,2,FALSE))))*0.85,2)</f>
        <v>2.4300000000000002</v>
      </c>
      <c r="G145" s="182">
        <f t="shared" si="194"/>
        <v>2.86</v>
      </c>
      <c r="H145" s="183" t="s">
        <v>84</v>
      </c>
      <c r="I145" s="182">
        <f>I144-G145</f>
        <v>7.1400000000000006</v>
      </c>
      <c r="K145" s="182">
        <f t="shared" ref="K145:K150" si="197">K144-G145</f>
        <v>19.75</v>
      </c>
      <c r="L145" s="182">
        <f t="shared" si="189"/>
        <v>33.28</v>
      </c>
      <c r="O145" s="182">
        <f t="shared" si="146"/>
        <v>25.719999999999857</v>
      </c>
      <c r="Q145" s="182">
        <f t="shared" si="196"/>
        <v>-8.11</v>
      </c>
      <c r="R145" s="182">
        <f t="shared" si="192"/>
        <v>39</v>
      </c>
      <c r="U145" s="184">
        <f t="shared" si="171"/>
        <v>17.939999999999955</v>
      </c>
      <c r="V145" s="201">
        <f>IF(H144="AFIII",VLOOKUP(D145,Sheet1!$A$4:$H$18,5,FALSE),IF(H144="UBIII",VLOOKUP(D145,Sheet1!$A$4:$H$18,8,FALSE),IF(H144="",VLOOKUP(D145,Sheet1!$A$4:$H$18,2,FALSE),"0")))</f>
        <v>1768</v>
      </c>
      <c r="W145" s="201">
        <f t="shared" si="150"/>
        <v>0</v>
      </c>
      <c r="X145" s="208">
        <f t="shared" si="193"/>
        <v>9149</v>
      </c>
      <c r="Y145" s="171" t="str">
        <f t="shared" si="152"/>
        <v>SUCCESS</v>
      </c>
      <c r="Z145" s="171" t="str">
        <f t="shared" si="153"/>
        <v>SUCCESS</v>
      </c>
      <c r="AA145" s="185">
        <f t="shared" si="180"/>
        <v>157.76770981905634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504</v>
      </c>
      <c r="B146" s="113">
        <f t="shared" si="142"/>
        <v>56917</v>
      </c>
      <c r="C146" s="118">
        <f t="shared" si="191"/>
        <v>360.43000000000018</v>
      </c>
      <c r="D146" s="181" t="s">
        <v>6</v>
      </c>
      <c r="E146" s="182">
        <f>IF(H145="AFIII",VLOOKUP($D146,Sheet1!$A$34:$K$48,5,FALSE),IF(H145="UBIII",VLOOKUP($D146,Sheet1!$A$34:$K$48,8,FALSE),VLOOKUP($D146,Sheet1!$A$34:$K$48,2,FALSE)))</f>
        <v>2.86</v>
      </c>
      <c r="F146" s="182">
        <f>ROUNDDOWN((IF(H145="AFIII",VLOOKUP($D146,Sheet1!$A$34:$K$48,5,FALSE),IF(H145="UBIII",VLOOKUP($D146,Sheet1!$A$34:$K$48,8,FALSE),VLOOKUP($D146,Sheet1!$A$34:$K$48,2,FALSE))))*0.85,2)</f>
        <v>2.4300000000000002</v>
      </c>
      <c r="G146" s="182">
        <f t="shared" si="194"/>
        <v>2.86</v>
      </c>
      <c r="H146" s="183" t="s">
        <v>84</v>
      </c>
      <c r="I146" s="182">
        <f>I145-G146</f>
        <v>4.2800000000000011</v>
      </c>
      <c r="K146" s="182">
        <f t="shared" si="197"/>
        <v>16.89</v>
      </c>
      <c r="L146" s="182">
        <f t="shared" si="189"/>
        <v>30.42</v>
      </c>
      <c r="O146" s="182">
        <f t="shared" si="146"/>
        <v>22.859999999999857</v>
      </c>
      <c r="Q146" s="182">
        <f t="shared" si="196"/>
        <v>-10.969999999999999</v>
      </c>
      <c r="R146" s="182">
        <f t="shared" si="192"/>
        <v>36.14</v>
      </c>
      <c r="U146" s="184">
        <f t="shared" si="171"/>
        <v>15.079999999999956</v>
      </c>
      <c r="V146" s="201">
        <f>IF(H145="AFIII",VLOOKUP(D146,Sheet1!$A$4:$H$18,5,FALSE),IF(H145="UBIII",VLOOKUP(D146,Sheet1!$A$4:$H$18,8,FALSE),IF(H145="",VLOOKUP(D146,Sheet1!$A$4:$H$18,2,FALSE),"0")))</f>
        <v>1768</v>
      </c>
      <c r="W146" s="201">
        <f t="shared" si="150"/>
        <v>0</v>
      </c>
      <c r="X146" s="208">
        <f t="shared" si="193"/>
        <v>7381</v>
      </c>
      <c r="Y146" s="171" t="str">
        <f t="shared" si="152"/>
        <v>SUCCESS</v>
      </c>
      <c r="Z146" s="171" t="str">
        <f t="shared" si="153"/>
        <v>SUCCESS</v>
      </c>
      <c r="AA146" s="185">
        <f t="shared" si="180"/>
        <v>157.91415808894922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324</v>
      </c>
      <c r="B147" s="113">
        <f t="shared" si="142"/>
        <v>57241</v>
      </c>
      <c r="C147" s="118">
        <f t="shared" si="191"/>
        <v>362.82000000000016</v>
      </c>
      <c r="D147" s="181" t="s">
        <v>1</v>
      </c>
      <c r="E147" s="182">
        <f>IF(H146="AFIII",VLOOKUP($D147,Sheet1!$A$34:$K$48,5,FALSE),IF(H146="UBIII",VLOOKUP($D147,Sheet1!$A$34:$K$48,8,FALSE),VLOOKUP($D147,Sheet1!$A$34:$K$48,2,FALSE)))</f>
        <v>2.39</v>
      </c>
      <c r="F147" s="182">
        <f>ROUNDDOWN((IF(H146="AFIII",VLOOKUP($D147,Sheet1!$A$34:$K$48,5,FALSE),IF(H146="UBIII",VLOOKUP($D147,Sheet1!$A$34:$K$48,8,FALSE),VLOOKUP($D147,Sheet1!$A$34:$K$48,2,FALSE))))*0.85,2)</f>
        <v>2.0299999999999998</v>
      </c>
      <c r="G147" s="182">
        <f t="shared" si="194"/>
        <v>2.39</v>
      </c>
      <c r="H147" s="183" t="s">
        <v>84</v>
      </c>
      <c r="I147" s="182">
        <v>10</v>
      </c>
      <c r="K147" s="182">
        <f t="shared" si="197"/>
        <v>14.5</v>
      </c>
      <c r="L147" s="182">
        <f t="shared" si="189"/>
        <v>28.03</v>
      </c>
      <c r="O147" s="182">
        <f t="shared" si="146"/>
        <v>20.469999999999857</v>
      </c>
      <c r="Q147" s="182">
        <f t="shared" si="196"/>
        <v>-13.36</v>
      </c>
      <c r="R147" s="182">
        <f t="shared" si="192"/>
        <v>33.75</v>
      </c>
      <c r="U147" s="184">
        <f t="shared" si="171"/>
        <v>12.689999999999955</v>
      </c>
      <c r="V147" s="201">
        <f>IF(H146="AFIII",VLOOKUP(D147,Sheet1!$A$4:$H$18,5,FALSE),IF(H146="UBIII",VLOOKUP(D147,Sheet1!$A$4:$H$18,8,FALSE),IF(H146="",VLOOKUP(D147,Sheet1!$A$4:$H$18,2,FALSE),"0")))</f>
        <v>2120</v>
      </c>
      <c r="W147" s="201">
        <f t="shared" si="150"/>
        <v>0</v>
      </c>
      <c r="X147" s="208">
        <f t="shared" si="193"/>
        <v>5261</v>
      </c>
      <c r="Y147" s="171" t="str">
        <f t="shared" si="152"/>
        <v>SUCCESS</v>
      </c>
      <c r="Z147" s="171" t="str">
        <f t="shared" si="153"/>
        <v>SUCCESS</v>
      </c>
      <c r="AA147" s="185">
        <f t="shared" si="180"/>
        <v>157.76693677305545</v>
      </c>
    </row>
    <row r="148" spans="1:27">
      <c r="A148" s="112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504</v>
      </c>
      <c r="B148" s="113">
        <f t="shared" si="142"/>
        <v>57745</v>
      </c>
      <c r="C148" s="118">
        <f t="shared" si="191"/>
        <v>365.68000000000018</v>
      </c>
      <c r="D148" s="181" t="s">
        <v>6</v>
      </c>
      <c r="E148" s="182">
        <f>IF(H147="AFIII",VLOOKUP($D148,Sheet1!$A$34:$K$48,5,FALSE),IF(H147="UBIII",VLOOKUP($D148,Sheet1!$A$34:$K$48,8,FALSE),VLOOKUP($D148,Sheet1!$A$34:$K$48,2,FALSE)))</f>
        <v>2.86</v>
      </c>
      <c r="F148" s="182">
        <f>ROUNDDOWN((IF(H147="AFIII",VLOOKUP($D148,Sheet1!$A$34:$K$48,5,FALSE),IF(H147="UBIII",VLOOKUP($D148,Sheet1!$A$34:$K$48,8,FALSE),VLOOKUP($D148,Sheet1!$A$34:$K$48,2,FALSE))))*0.85,2)</f>
        <v>2.4300000000000002</v>
      </c>
      <c r="G148" s="182">
        <f t="shared" si="194"/>
        <v>2.86</v>
      </c>
      <c r="H148" s="183" t="s">
        <v>84</v>
      </c>
      <c r="I148" s="182">
        <f>I147-G148</f>
        <v>7.1400000000000006</v>
      </c>
      <c r="K148" s="182">
        <f t="shared" si="197"/>
        <v>11.64</v>
      </c>
      <c r="L148" s="182">
        <f t="shared" si="189"/>
        <v>25.17</v>
      </c>
      <c r="O148" s="182">
        <f t="shared" si="146"/>
        <v>17.609999999999857</v>
      </c>
      <c r="Q148" s="182">
        <f t="shared" si="196"/>
        <v>-16.22</v>
      </c>
      <c r="R148" s="182">
        <f t="shared" si="192"/>
        <v>30.89</v>
      </c>
      <c r="U148" s="184">
        <f t="shared" si="171"/>
        <v>9.8299999999999557</v>
      </c>
      <c r="V148" s="201">
        <f>IF(H147="AFIII",VLOOKUP(D148,Sheet1!$A$4:$H$18,5,FALSE),IF(H147="UBIII",VLOOKUP(D148,Sheet1!$A$4:$H$18,8,FALSE),IF(H147="",VLOOKUP(D148,Sheet1!$A$4:$H$18,2,FALSE),"0")))</f>
        <v>1768</v>
      </c>
      <c r="W148" s="201">
        <f t="shared" si="150"/>
        <v>0</v>
      </c>
      <c r="X148" s="208">
        <f t="shared" si="193"/>
        <v>3493</v>
      </c>
      <c r="Y148" s="171" t="str">
        <f t="shared" si="152"/>
        <v>SUCCESS</v>
      </c>
      <c r="Z148" s="171" t="str">
        <f t="shared" si="153"/>
        <v>SUCCESS</v>
      </c>
      <c r="AA148" s="185">
        <f t="shared" si="180"/>
        <v>157.91128855830226</v>
      </c>
    </row>
    <row r="149" spans="1:27">
      <c r="A149" s="112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504</v>
      </c>
      <c r="B149" s="113">
        <f t="shared" si="142"/>
        <v>58249</v>
      </c>
      <c r="C149" s="118">
        <f t="shared" si="191"/>
        <v>368.54000000000019</v>
      </c>
      <c r="D149" s="181" t="s">
        <v>6</v>
      </c>
      <c r="E149" s="182">
        <f>IF(H148="AFIII",VLOOKUP($D149,Sheet1!$A$34:$K$48,5,FALSE),IF(H148="UBIII",VLOOKUP($D149,Sheet1!$A$34:$K$48,8,FALSE),VLOOKUP($D149,Sheet1!$A$34:$K$48,2,FALSE)))</f>
        <v>2.86</v>
      </c>
      <c r="F149" s="182">
        <f>ROUNDDOWN((IF(H148="AFIII",VLOOKUP($D149,Sheet1!$A$34:$K$48,5,FALSE),IF(H148="UBIII",VLOOKUP($D149,Sheet1!$A$34:$K$48,8,FALSE),VLOOKUP($D149,Sheet1!$A$34:$K$48,2,FALSE))))*0.85,2)</f>
        <v>2.4300000000000002</v>
      </c>
      <c r="G149" s="182">
        <f t="shared" si="194"/>
        <v>2.86</v>
      </c>
      <c r="H149" s="183" t="s">
        <v>84</v>
      </c>
      <c r="I149" s="182">
        <f>I148-G149</f>
        <v>4.2800000000000011</v>
      </c>
      <c r="K149" s="182">
        <f t="shared" si="197"/>
        <v>8.7800000000000011</v>
      </c>
      <c r="L149" s="182">
        <f t="shared" si="189"/>
        <v>22.310000000000002</v>
      </c>
      <c r="O149" s="182">
        <f t="shared" si="146"/>
        <v>14.749999999999858</v>
      </c>
      <c r="Q149" s="182">
        <f t="shared" si="196"/>
        <v>-19.079999999999998</v>
      </c>
      <c r="R149" s="182">
        <f t="shared" si="192"/>
        <v>28.03</v>
      </c>
      <c r="U149" s="184">
        <f t="shared" si="171"/>
        <v>6.9699999999999562</v>
      </c>
      <c r="V149" s="201">
        <f>IF(H148="AFIII",VLOOKUP(D149,Sheet1!$A$4:$H$18,5,FALSE),IF(H148="UBIII",VLOOKUP(D149,Sheet1!$A$4:$H$18,8,FALSE),IF(H148="",VLOOKUP(D149,Sheet1!$A$4:$H$18,2,FALSE),"0")))</f>
        <v>1768</v>
      </c>
      <c r="W149" s="201">
        <f t="shared" si="150"/>
        <v>0</v>
      </c>
      <c r="X149" s="208">
        <f t="shared" si="193"/>
        <v>1725</v>
      </c>
      <c r="Y149" s="171" t="str">
        <f t="shared" si="152"/>
        <v>SUCCESS</v>
      </c>
      <c r="Z149" s="171" t="str">
        <f t="shared" si="153"/>
        <v>SUCCESS</v>
      </c>
      <c r="AA149" s="185">
        <f t="shared" si="180"/>
        <v>158.05339990231718</v>
      </c>
    </row>
    <row r="150" spans="1:27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168</v>
      </c>
      <c r="B150" s="113">
        <f t="shared" si="142"/>
        <v>58417</v>
      </c>
      <c r="C150" s="118">
        <f t="shared" si="191"/>
        <v>370.93000000000018</v>
      </c>
      <c r="D150" s="181" t="s">
        <v>12</v>
      </c>
      <c r="E150" s="182">
        <f>IF(H149="AFIII",VLOOKUP($D150,Sheet1!$A$34:$K$48,5,FALSE),IF(H149="UBIII",VLOOKUP($D150,Sheet1!$A$34:$K$48,8,FALSE),VLOOKUP($D150,Sheet1!$A$34:$K$48,2,FALSE)))</f>
        <v>1.67</v>
      </c>
      <c r="F150" s="182">
        <f>ROUNDDOWN((IF(H149="AFIII",VLOOKUP($D150,Sheet1!$A$34:$K$48,5,FALSE),IF(H149="UBIII",VLOOKUP($D150,Sheet1!$A$34:$K$48,8,FALSE),VLOOKUP($D150,Sheet1!$A$34:$K$48,2,FALSE))))*0.85,2)</f>
        <v>1.41</v>
      </c>
      <c r="G150" s="182">
        <f t="shared" si="194"/>
        <v>2.39</v>
      </c>
      <c r="H150" s="183" t="s">
        <v>122</v>
      </c>
      <c r="I150" s="182">
        <v>10</v>
      </c>
      <c r="K150" s="182">
        <f t="shared" si="197"/>
        <v>6.3900000000000006</v>
      </c>
      <c r="L150" s="182">
        <f t="shared" si="189"/>
        <v>19.920000000000002</v>
      </c>
      <c r="O150" s="182">
        <f t="shared" si="146"/>
        <v>12.359999999999857</v>
      </c>
      <c r="Q150" s="182">
        <f t="shared" si="196"/>
        <v>-21.47</v>
      </c>
      <c r="R150" s="182">
        <f t="shared" si="192"/>
        <v>25.64</v>
      </c>
      <c r="U150" s="184">
        <f t="shared" si="171"/>
        <v>4.5799999999999557</v>
      </c>
      <c r="V150" s="201">
        <f>IF(H149="AFIII",VLOOKUP(D150,Sheet1!$A$4:$H$18,5,FALSE),IF(H149="UBIII",VLOOKUP(D150,Sheet1!$A$4:$H$18,8,FALSE),IF(H149="",VLOOKUP(D150,Sheet1!$A$4:$H$18,2,FALSE),"0")))</f>
        <v>265</v>
      </c>
      <c r="W150" s="201">
        <f t="shared" si="150"/>
        <v>0</v>
      </c>
      <c r="X150" s="208">
        <f t="shared" si="193"/>
        <v>1460</v>
      </c>
      <c r="Y150" s="171" t="str">
        <f t="shared" si="152"/>
        <v>SUCCESS</v>
      </c>
      <c r="Z150" s="171" t="str">
        <f t="shared" si="153"/>
        <v>SUCCESS</v>
      </c>
      <c r="AA150" s="185">
        <f t="shared" si="180"/>
        <v>157.48793572911325</v>
      </c>
    </row>
    <row r="151" spans="1:27">
      <c r="A151" s="119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280</v>
      </c>
      <c r="B151" s="120">
        <f t="shared" si="142"/>
        <v>58697</v>
      </c>
      <c r="C151" s="121">
        <f t="shared" si="191"/>
        <v>373.79000000000019</v>
      </c>
      <c r="D151" s="191" t="s">
        <v>14</v>
      </c>
      <c r="E151" s="192">
        <f>IF(H150="AFIII",VLOOKUP($D151,Sheet1!$A$34:$K$48,5,FALSE),IF(H150="UBIII",VLOOKUP($D151,Sheet1!$A$34:$K$48,8,FALSE),VLOOKUP($D151,Sheet1!$A$34:$K$48,2,FALSE)))</f>
        <v>2.86</v>
      </c>
      <c r="F151" s="192">
        <f>ROUNDDOWN((IF(H150="AFIII",VLOOKUP($D151,Sheet1!$A$34:$K$48,5,FALSE),IF(H150="UBIII",VLOOKUP($D151,Sheet1!$A$34:$K$48,8,FALSE),VLOOKUP($D151,Sheet1!$A$34:$K$48,2,FALSE))))*0.85,2)</f>
        <v>2.4300000000000002</v>
      </c>
      <c r="G151" s="192">
        <f t="shared" si="194"/>
        <v>2.86</v>
      </c>
      <c r="H151" s="193" t="s">
        <v>122</v>
      </c>
      <c r="I151" s="192">
        <f>I150-G151</f>
        <v>7.1400000000000006</v>
      </c>
      <c r="J151" s="193"/>
      <c r="K151" s="192">
        <v>20</v>
      </c>
      <c r="L151" s="192">
        <f t="shared" si="189"/>
        <v>17.060000000000002</v>
      </c>
      <c r="M151" s="193"/>
      <c r="N151" s="192"/>
      <c r="O151" s="192">
        <f t="shared" si="146"/>
        <v>9.4999999999998579</v>
      </c>
      <c r="P151" s="193"/>
      <c r="Q151" s="192">
        <f t="shared" si="196"/>
        <v>-24.33</v>
      </c>
      <c r="R151" s="192">
        <f t="shared" si="192"/>
        <v>22.78</v>
      </c>
      <c r="S151" s="193"/>
      <c r="T151" s="192"/>
      <c r="U151" s="194">
        <f t="shared" si="171"/>
        <v>1.7199999999999558</v>
      </c>
      <c r="V151" s="211">
        <f>IF(H150="AFIII",VLOOKUP(D151,Sheet1!$A$4:$H$18,5,FALSE),IF(H150="UBIII",VLOOKUP(D151,Sheet1!$A$4:$H$18,8,FALSE),IF(H150="",VLOOKUP(D151,Sheet1!$A$4:$H$18,2,FALSE),"0")))</f>
        <v>884</v>
      </c>
      <c r="W151" s="211">
        <f t="shared" si="150"/>
        <v>7033</v>
      </c>
      <c r="X151" s="212">
        <f t="shared" si="193"/>
        <v>7609</v>
      </c>
      <c r="Y151" s="195" t="str">
        <f t="shared" si="152"/>
        <v>SUCCESS</v>
      </c>
      <c r="Z151" s="195" t="str">
        <f t="shared" si="153"/>
        <v>SUCCESS</v>
      </c>
      <c r="AA151" s="185">
        <f t="shared" si="180"/>
        <v>157.0320233286069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168</v>
      </c>
      <c r="B152" s="113">
        <f t="shared" si="142"/>
        <v>58865</v>
      </c>
      <c r="C152" s="118">
        <f t="shared" si="191"/>
        <v>376.18000000000018</v>
      </c>
      <c r="D152" s="181" t="s">
        <v>3</v>
      </c>
      <c r="E152" s="182">
        <f>IF(H151="AFIII",VLOOKUP($D152,Sheet1!$A$34:$K$48,5,FALSE),IF(H151="UBIII",VLOOKUP($D152,Sheet1!$A$34:$K$48,8,FALSE),VLOOKUP($D152,Sheet1!$A$34:$K$48,2,FALSE)))</f>
        <v>1.67</v>
      </c>
      <c r="F152" s="182">
        <f>ROUNDDOWN((IF(H151="AFIII",VLOOKUP($D152,Sheet1!$A$34:$K$48,5,FALSE),IF(H151="UBIII",VLOOKUP($D152,Sheet1!$A$34:$K$48,8,FALSE),VLOOKUP($D152,Sheet1!$A$34:$K$48,2,FALSE))))*0.85,2)</f>
        <v>1.41</v>
      </c>
      <c r="G152" s="182">
        <f t="shared" si="194"/>
        <v>2.39</v>
      </c>
      <c r="H152" s="183" t="s">
        <v>84</v>
      </c>
      <c r="I152" s="182">
        <v>10</v>
      </c>
      <c r="K152" s="182">
        <f>K151-G152</f>
        <v>17.61</v>
      </c>
      <c r="L152" s="182">
        <f t="shared" si="189"/>
        <v>14.670000000000002</v>
      </c>
      <c r="O152" s="182">
        <f t="shared" si="146"/>
        <v>7.1099999999998573</v>
      </c>
      <c r="Q152" s="182">
        <f t="shared" si="196"/>
        <v>-26.72</v>
      </c>
      <c r="R152" s="182">
        <f t="shared" si="192"/>
        <v>20.39</v>
      </c>
      <c r="U152" s="184">
        <f t="shared" si="171"/>
        <v>-0.67000000000004434</v>
      </c>
      <c r="V152" s="201">
        <f>IF(H151="AFIII",VLOOKUP(D152,Sheet1!$A$4:$H$18,5,FALSE),IF(H151="UBIII",VLOOKUP(D152,Sheet1!$A$4:$H$18,8,FALSE),IF(H151="",VLOOKUP(D152,Sheet1!$A$4:$H$18,2,FALSE),"0")))</f>
        <v>442</v>
      </c>
      <c r="W152" s="201">
        <f t="shared" si="150"/>
        <v>7033</v>
      </c>
      <c r="X152" s="208">
        <f t="shared" si="193"/>
        <v>10917</v>
      </c>
      <c r="Y152" s="171" t="str">
        <f t="shared" si="152"/>
        <v>SUCCESS</v>
      </c>
      <c r="Z152" s="171" t="str">
        <f t="shared" si="153"/>
        <v>SUCCESS</v>
      </c>
      <c r="AA152" s="185">
        <f t="shared" si="180"/>
        <v>156.48093997554355</v>
      </c>
    </row>
    <row r="153" spans="1:27">
      <c r="A153" s="112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504</v>
      </c>
      <c r="B153" s="113">
        <f t="shared" si="142"/>
        <v>59369</v>
      </c>
      <c r="C153" s="118">
        <f t="shared" si="191"/>
        <v>379.04000000000019</v>
      </c>
      <c r="D153" s="181" t="s">
        <v>5</v>
      </c>
      <c r="E153" s="182">
        <f>IF(H152="AFIII",VLOOKUP($D153,Sheet1!$A$34:$K$48,5,FALSE),IF(H152="UBIII",VLOOKUP($D153,Sheet1!$A$34:$K$48,8,FALSE),VLOOKUP($D153,Sheet1!$A$34:$K$48,2,FALSE)))</f>
        <v>2.86</v>
      </c>
      <c r="F153" s="182">
        <f>ROUNDDOWN((IF(H152="AFIII",VLOOKUP($D153,Sheet1!$A$34:$K$48,5,FALSE),IF(H152="UBIII",VLOOKUP($D153,Sheet1!$A$34:$K$48,8,FALSE),VLOOKUP($D153,Sheet1!$A$34:$K$48,2,FALSE))))*0.85,2)</f>
        <v>2.4300000000000002</v>
      </c>
      <c r="G153" s="182">
        <f t="shared" si="194"/>
        <v>2.86</v>
      </c>
      <c r="H153" s="183" t="s">
        <v>84</v>
      </c>
      <c r="I153" s="182">
        <f>I152-G153</f>
        <v>7.1400000000000006</v>
      </c>
      <c r="K153" s="182">
        <f t="shared" ref="K153:K159" si="198">K152-G153</f>
        <v>14.75</v>
      </c>
      <c r="L153" s="182">
        <f t="shared" si="189"/>
        <v>11.810000000000002</v>
      </c>
      <c r="O153" s="182">
        <f t="shared" si="146"/>
        <v>4.2499999999998579</v>
      </c>
      <c r="Q153" s="182">
        <f t="shared" si="196"/>
        <v>-29.58</v>
      </c>
      <c r="R153" s="182">
        <f t="shared" si="192"/>
        <v>17.53</v>
      </c>
      <c r="U153" s="184">
        <f t="shared" si="171"/>
        <v>-3.5300000000000442</v>
      </c>
      <c r="V153" s="201">
        <f>IF(H152="AFIII",VLOOKUP(D153,Sheet1!$A$4:$H$18,5,FALSE),IF(H152="UBIII",VLOOKUP(D153,Sheet1!$A$4:$H$18,8,FALSE),IF(H152="",VLOOKUP(D153,Sheet1!$A$4:$H$18,2,FALSE),"0")))</f>
        <v>1768</v>
      </c>
      <c r="W153" s="201">
        <f t="shared" si="150"/>
        <v>0</v>
      </c>
      <c r="X153" s="208">
        <f t="shared" si="193"/>
        <v>9149</v>
      </c>
      <c r="Y153" s="171" t="str">
        <f t="shared" si="152"/>
        <v>SUCCESS</v>
      </c>
      <c r="Z153" s="171" t="str">
        <f t="shared" si="153"/>
        <v>SUCCESS</v>
      </c>
      <c r="AA153" s="185">
        <f t="shared" si="180"/>
        <v>156.62990713381166</v>
      </c>
    </row>
    <row r="154" spans="1:27">
      <c r="A154" s="112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504</v>
      </c>
      <c r="B154" s="113">
        <f t="shared" si="142"/>
        <v>59873</v>
      </c>
      <c r="C154" s="118">
        <f t="shared" si="191"/>
        <v>381.9000000000002</v>
      </c>
      <c r="D154" s="181" t="s">
        <v>5</v>
      </c>
      <c r="E154" s="182">
        <f>IF(H153="AFIII",VLOOKUP($D154,Sheet1!$A$34:$K$48,5,FALSE),IF(H153="UBIII",VLOOKUP($D154,Sheet1!$A$34:$K$48,8,FALSE),VLOOKUP($D154,Sheet1!$A$34:$K$48,2,FALSE)))</f>
        <v>2.86</v>
      </c>
      <c r="F154" s="182">
        <f>ROUNDDOWN((IF(H153="AFIII",VLOOKUP($D154,Sheet1!$A$34:$K$48,5,FALSE),IF(H153="UBIII",VLOOKUP($D154,Sheet1!$A$34:$K$48,8,FALSE),VLOOKUP($D154,Sheet1!$A$34:$K$48,2,FALSE))))*0.85,2)</f>
        <v>2.4300000000000002</v>
      </c>
      <c r="G154" s="182">
        <f t="shared" si="194"/>
        <v>2.86</v>
      </c>
      <c r="H154" s="183" t="s">
        <v>84</v>
      </c>
      <c r="I154" s="182">
        <f t="shared" ref="I154" si="199">I153-G154</f>
        <v>4.2800000000000011</v>
      </c>
      <c r="K154" s="182">
        <f t="shared" si="198"/>
        <v>11.89</v>
      </c>
      <c r="L154" s="182">
        <f t="shared" si="189"/>
        <v>8.9500000000000028</v>
      </c>
      <c r="O154" s="182">
        <f t="shared" si="146"/>
        <v>1.389999999999858</v>
      </c>
      <c r="Q154" s="182">
        <f t="shared" si="196"/>
        <v>-32.44</v>
      </c>
      <c r="R154" s="182">
        <f t="shared" si="192"/>
        <v>14.670000000000002</v>
      </c>
      <c r="U154" s="184">
        <f t="shared" si="171"/>
        <v>-6.3900000000000441</v>
      </c>
      <c r="V154" s="201">
        <f>IF(H153="AFIII",VLOOKUP(D154,Sheet1!$A$4:$H$18,5,FALSE),IF(H153="UBIII",VLOOKUP(D154,Sheet1!$A$4:$H$18,8,FALSE),IF(H153="",VLOOKUP(D154,Sheet1!$A$4:$H$18,2,FALSE),"0")))</f>
        <v>1768</v>
      </c>
      <c r="W154" s="201">
        <f t="shared" si="150"/>
        <v>0</v>
      </c>
      <c r="X154" s="208">
        <f t="shared" si="193"/>
        <v>7381</v>
      </c>
      <c r="Y154" s="171" t="str">
        <f t="shared" si="152"/>
        <v>SUCCESS</v>
      </c>
      <c r="Z154" s="171" t="str">
        <f t="shared" si="153"/>
        <v>SUCCESS</v>
      </c>
      <c r="AA154" s="185">
        <f t="shared" si="180"/>
        <v>156.77664310028794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324</v>
      </c>
      <c r="B155" s="113">
        <f t="shared" si="142"/>
        <v>60197</v>
      </c>
      <c r="C155" s="118">
        <f t="shared" si="191"/>
        <v>384.29000000000019</v>
      </c>
      <c r="D155" s="181" t="s">
        <v>1</v>
      </c>
      <c r="E155" s="182">
        <f>IF(H154="AFIII",VLOOKUP($D155,Sheet1!$A$34:$K$48,5,FALSE),IF(H154="UBIII",VLOOKUP($D155,Sheet1!$A$34:$K$48,8,FALSE),VLOOKUP($D155,Sheet1!$A$34:$K$48,2,FALSE)))</f>
        <v>2.39</v>
      </c>
      <c r="F155" s="182">
        <f>ROUNDDOWN((IF(H154="AFIII",VLOOKUP($D155,Sheet1!$A$34:$K$48,5,FALSE),IF(H154="UBIII",VLOOKUP($D155,Sheet1!$A$34:$K$48,8,FALSE),VLOOKUP($D155,Sheet1!$A$34:$K$48,2,FALSE))))*0.85,2)</f>
        <v>2.0299999999999998</v>
      </c>
      <c r="G155" s="182">
        <f t="shared" si="194"/>
        <v>2.39</v>
      </c>
      <c r="H155" s="183" t="s">
        <v>84</v>
      </c>
      <c r="I155" s="182">
        <v>10</v>
      </c>
      <c r="K155" s="182">
        <f t="shared" si="198"/>
        <v>9.5</v>
      </c>
      <c r="L155" s="182">
        <f t="shared" si="189"/>
        <v>6.5600000000000023</v>
      </c>
      <c r="O155" s="182">
        <f t="shared" si="146"/>
        <v>-1.0000000000001421</v>
      </c>
      <c r="Q155" s="182">
        <f t="shared" si="196"/>
        <v>-34.83</v>
      </c>
      <c r="R155" s="182">
        <f>R154-G155</f>
        <v>12.280000000000001</v>
      </c>
      <c r="U155" s="184">
        <f t="shared" si="171"/>
        <v>-8.7800000000000438</v>
      </c>
      <c r="V155" s="201">
        <f>IF(H154="AFIII",VLOOKUP(D155,Sheet1!$A$4:$H$18,5,FALSE),IF(H154="UBIII",VLOOKUP(D155,Sheet1!$A$4:$H$18,8,FALSE),IF(H154="",VLOOKUP(D155,Sheet1!$A$4:$H$18,2,FALSE),"0")))</f>
        <v>2120</v>
      </c>
      <c r="W155" s="201">
        <f t="shared" si="150"/>
        <v>0</v>
      </c>
      <c r="X155" s="208">
        <f t="shared" si="193"/>
        <v>5261</v>
      </c>
      <c r="Y155" s="171" t="str">
        <f t="shared" si="152"/>
        <v>SUCCESS</v>
      </c>
      <c r="Z155" s="171" t="str">
        <f t="shared" si="153"/>
        <v>SUCCESS</v>
      </c>
      <c r="AA155" s="185">
        <f t="shared" si="180"/>
        <v>156.64472143433338</v>
      </c>
    </row>
    <row r="156" spans="1:27">
      <c r="A156" s="112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504</v>
      </c>
      <c r="B156" s="113">
        <f t="shared" si="142"/>
        <v>60701</v>
      </c>
      <c r="C156" s="118">
        <f t="shared" si="191"/>
        <v>387.1500000000002</v>
      </c>
      <c r="D156" s="181" t="s">
        <v>6</v>
      </c>
      <c r="E156" s="182">
        <f>IF(H155="AFIII",VLOOKUP($D156,Sheet1!$A$34:$K$48,5,FALSE),IF(H155="UBIII",VLOOKUP($D156,Sheet1!$A$34:$K$48,8,FALSE),VLOOKUP($D156,Sheet1!$A$34:$K$48,2,FALSE)))</f>
        <v>2.86</v>
      </c>
      <c r="F156" s="182">
        <f>ROUNDDOWN((IF(H155="AFIII",VLOOKUP($D156,Sheet1!$A$34:$K$48,5,FALSE),IF(H155="UBIII",VLOOKUP($D156,Sheet1!$A$34:$K$48,8,FALSE),VLOOKUP($D156,Sheet1!$A$34:$K$48,2,FALSE))))*0.85,2)</f>
        <v>2.4300000000000002</v>
      </c>
      <c r="G156" s="182">
        <f t="shared" si="194"/>
        <v>2.86</v>
      </c>
      <c r="H156" s="183" t="s">
        <v>84</v>
      </c>
      <c r="I156" s="182">
        <f>I155-G156</f>
        <v>7.1400000000000006</v>
      </c>
      <c r="K156" s="182">
        <f t="shared" si="198"/>
        <v>6.6400000000000006</v>
      </c>
      <c r="L156" s="182">
        <f t="shared" si="189"/>
        <v>3.7000000000000024</v>
      </c>
      <c r="O156" s="182">
        <f t="shared" si="146"/>
        <v>-3.860000000000142</v>
      </c>
      <c r="Q156" s="182">
        <f t="shared" si="196"/>
        <v>-37.69</v>
      </c>
      <c r="R156" s="182">
        <f t="shared" ref="R156:R157" si="200">R155-G156</f>
        <v>9.4200000000000017</v>
      </c>
      <c r="U156" s="184">
        <f t="shared" si="171"/>
        <v>-11.640000000000043</v>
      </c>
      <c r="V156" s="201">
        <f>IF(H155="AFIII",VLOOKUP(D156,Sheet1!$A$4:$H$18,5,FALSE),IF(H155="UBIII",VLOOKUP(D156,Sheet1!$A$4:$H$18,8,FALSE),IF(H155="",VLOOKUP(D156,Sheet1!$A$4:$H$18,2,FALSE),"0")))</f>
        <v>1768</v>
      </c>
      <c r="W156" s="201">
        <f t="shared" si="150"/>
        <v>0</v>
      </c>
      <c r="X156" s="208">
        <f t="shared" si="193"/>
        <v>3493</v>
      </c>
      <c r="Y156" s="171" t="str">
        <f t="shared" si="152"/>
        <v>SUCCESS</v>
      </c>
      <c r="Z156" s="171" t="str">
        <f t="shared" si="153"/>
        <v>SUCCESS</v>
      </c>
      <c r="AA156" s="185">
        <f t="shared" si="180"/>
        <v>156.78935812992373</v>
      </c>
    </row>
    <row r="157" spans="1:27">
      <c r="A157" s="112">
        <f>ROUNDDOWN(IF(N156-G157&gt;0,(IF(H156="AFIII",VLOOKUP(D157,Sheet1!$K$4:$S$19,5,FALSE),IF(H156="UBIII",VLOOKUP(D157,Sheet1!$K$4:$S$19,8,FALSE),VLOOKUP(D157,Sheet1!$K$4:$S$19,2,FALSE)))*1.2),IF(H156="AFIII",VLOOKUP(D157,Sheet1!$K$4:$S$19,5,FALSE),IF(H156="UBIII",VLOOKUP(D157,Sheet1!$K$4:$S$19,8,FALSE),VLOOKUP(D157,Sheet1!$K$4:$S$19,2,FALSE)))),0)</f>
        <v>504</v>
      </c>
      <c r="B157" s="113">
        <f t="shared" si="142"/>
        <v>61205</v>
      </c>
      <c r="C157" s="118">
        <f t="shared" si="191"/>
        <v>390.01000000000022</v>
      </c>
      <c r="D157" s="181" t="s">
        <v>6</v>
      </c>
      <c r="E157" s="182">
        <f>IF(H156="AFIII",VLOOKUP($D157,Sheet1!$A$34:$K$48,5,FALSE),IF(H156="UBIII",VLOOKUP($D157,Sheet1!$A$34:$K$48,8,FALSE),VLOOKUP($D157,Sheet1!$A$34:$K$48,2,FALSE)))</f>
        <v>2.86</v>
      </c>
      <c r="F157" s="182">
        <f>ROUNDDOWN((IF(H156="AFIII",VLOOKUP($D157,Sheet1!$A$34:$K$48,5,FALSE),IF(H156="UBIII",VLOOKUP($D157,Sheet1!$A$34:$K$48,8,FALSE),VLOOKUP($D157,Sheet1!$A$34:$K$48,2,FALSE))))*0.85,2)</f>
        <v>2.4300000000000002</v>
      </c>
      <c r="G157" s="182">
        <f t="shared" si="194"/>
        <v>2.86</v>
      </c>
      <c r="H157" s="183" t="s">
        <v>84</v>
      </c>
      <c r="I157" s="182">
        <f>I156-G157</f>
        <v>4.2800000000000011</v>
      </c>
      <c r="K157" s="182">
        <f t="shared" si="198"/>
        <v>3.7800000000000007</v>
      </c>
      <c r="L157" s="182">
        <f t="shared" si="189"/>
        <v>0.84000000000000252</v>
      </c>
      <c r="O157" s="182">
        <f t="shared" si="146"/>
        <v>-6.7200000000001419</v>
      </c>
      <c r="Q157" s="182">
        <f t="shared" si="196"/>
        <v>-40.549999999999997</v>
      </c>
      <c r="R157" s="182">
        <f t="shared" si="200"/>
        <v>6.5600000000000023</v>
      </c>
      <c r="U157" s="184">
        <f t="shared" si="171"/>
        <v>-14.500000000000043</v>
      </c>
      <c r="V157" s="201">
        <f>IF(H156="AFIII",VLOOKUP(D157,Sheet1!$A$4:$H$18,5,FALSE),IF(H156="UBIII",VLOOKUP(D157,Sheet1!$A$4:$H$18,8,FALSE),IF(H156="",VLOOKUP(D157,Sheet1!$A$4:$H$18,2,FALSE),"0")))</f>
        <v>1768</v>
      </c>
      <c r="W157" s="201">
        <f t="shared" si="150"/>
        <v>0</v>
      </c>
      <c r="X157" s="208">
        <f t="shared" si="193"/>
        <v>1725</v>
      </c>
      <c r="Y157" s="171" t="str">
        <f t="shared" si="152"/>
        <v>SUCCESS</v>
      </c>
      <c r="Z157" s="171" t="str">
        <f t="shared" si="153"/>
        <v>SUCCESS</v>
      </c>
      <c r="AA157" s="185">
        <f t="shared" si="180"/>
        <v>156.93187354170396</v>
      </c>
    </row>
    <row r="158" spans="1:27">
      <c r="A158" s="112">
        <f>ROUNDDOWN(IF(N157-G158&gt;0,(IF(H157="AFIII",VLOOKUP(D158,Sheet1!$K$4:$S$19,5,FALSE),IF(H157="UBIII",VLOOKUP(D158,Sheet1!$K$4:$S$19,8,FALSE),VLOOKUP(D158,Sheet1!$K$4:$S$19,2,FALSE)))*1.2),IF(H157="AFIII",VLOOKUP(D158,Sheet1!$K$4:$S$19,5,FALSE),IF(H157="UBIII",VLOOKUP(D158,Sheet1!$K$4:$S$19,8,FALSE),VLOOKUP(D158,Sheet1!$K$4:$S$19,2,FALSE)))),0)</f>
        <v>168</v>
      </c>
      <c r="B158" s="113">
        <f t="shared" ref="B158:B159" si="201">B157+A158</f>
        <v>61373</v>
      </c>
      <c r="C158" s="118">
        <f t="shared" si="191"/>
        <v>392.4000000000002</v>
      </c>
      <c r="D158" s="181" t="s">
        <v>12</v>
      </c>
      <c r="E158" s="182">
        <f>IF(H157="AFIII",VLOOKUP($D158,Sheet1!$A$34:$K$48,5,FALSE),IF(H157="UBIII",VLOOKUP($D158,Sheet1!$A$34:$K$48,8,FALSE),VLOOKUP($D158,Sheet1!$A$34:$K$48,2,FALSE)))</f>
        <v>1.67</v>
      </c>
      <c r="F158" s="182">
        <f>ROUNDDOWN((IF(H157="AFIII",VLOOKUP($D158,Sheet1!$A$34:$K$48,5,FALSE),IF(H157="UBIII",VLOOKUP($D158,Sheet1!$A$34:$K$48,8,FALSE),VLOOKUP($D158,Sheet1!$A$34:$K$48,2,FALSE))))*0.85,2)</f>
        <v>1.41</v>
      </c>
      <c r="G158" s="182">
        <f t="shared" si="194"/>
        <v>2.39</v>
      </c>
      <c r="H158" s="183" t="s">
        <v>122</v>
      </c>
      <c r="I158" s="182">
        <v>10</v>
      </c>
      <c r="K158" s="182">
        <f t="shared" si="198"/>
        <v>1.3900000000000006</v>
      </c>
      <c r="L158" s="182">
        <f t="shared" si="189"/>
        <v>-1.5499999999999976</v>
      </c>
      <c r="O158" s="182">
        <f t="shared" ref="O158:O159" si="202">O157-G158</f>
        <v>-9.1100000000001415</v>
      </c>
      <c r="Q158" s="182">
        <f t="shared" si="196"/>
        <v>-42.94</v>
      </c>
      <c r="S158" s="183" t="s">
        <v>87</v>
      </c>
      <c r="T158" s="182">
        <v>30</v>
      </c>
      <c r="U158" s="184">
        <v>90</v>
      </c>
      <c r="V158" s="201">
        <f>IF(H157="AFIII",VLOOKUP(D158,Sheet1!$A$4:$H$18,5,FALSE),IF(H157="UBIII",VLOOKUP(D158,Sheet1!$A$4:$H$18,8,FALSE),IF(H157="",VLOOKUP(D158,Sheet1!$A$4:$H$18,2,FALSE),"0")))</f>
        <v>265</v>
      </c>
      <c r="W158" s="201">
        <f t="shared" ref="W158:W159" si="203">IF(H157="UBIII",$X$2,0)</f>
        <v>0</v>
      </c>
      <c r="X158" s="208">
        <f t="shared" si="193"/>
        <v>1460</v>
      </c>
      <c r="Y158" s="171" t="str">
        <f t="shared" ref="Y158:Y159" si="204">IF(X157-V158&lt;0,"ERROR","SUCCESS")</f>
        <v>SUCCESS</v>
      </c>
      <c r="Z158" s="171" t="str">
        <f t="shared" ref="Z158:Z159" si="205">IF(K157-G158&lt;0,"ERROR","SUCCESS")</f>
        <v>SUCCESS</v>
      </c>
      <c r="AA158" s="185">
        <f t="shared" si="180"/>
        <v>156.40417940876648</v>
      </c>
    </row>
    <row r="159" spans="1:27" ht="12.75" thickBot="1">
      <c r="A159" s="116">
        <f>ROUNDDOWN(IF(N158-G159&gt;0,(IF(H158="AFIII",VLOOKUP(D159,Sheet1!$K$4:$S$19,5,FALSE),IF(H158="UBIII",VLOOKUP(D159,Sheet1!$K$4:$S$19,8,FALSE),VLOOKUP(D159,Sheet1!$K$4:$S$19,2,FALSE)))*1.2),IF(H158="AFIII",VLOOKUP(D159,Sheet1!$K$4:$S$19,5,FALSE),IF(H158="UBIII",VLOOKUP(D159,Sheet1!$K$4:$S$19,8,FALSE),VLOOKUP(D159,Sheet1!$K$4:$S$19,2,FALSE)))),0)</f>
        <v>295</v>
      </c>
      <c r="B159" s="117">
        <f t="shared" si="201"/>
        <v>61668</v>
      </c>
      <c r="C159" s="125">
        <f t="shared" si="191"/>
        <v>394.83000000000021</v>
      </c>
      <c r="D159" s="196" t="s">
        <v>249</v>
      </c>
      <c r="E159" s="197">
        <f>IF(H158="AFIII",VLOOKUP($D159,Sheet1!$A$34:$K$48,5,FALSE),IF(H158="UBIII",VLOOKUP($D159,Sheet1!$A$34:$K$48,8,FALSE),VLOOKUP($D159,Sheet1!$A$34:$K$48,2,FALSE)))</f>
        <v>2.86</v>
      </c>
      <c r="F159" s="197">
        <f>ROUNDDOWN((IF(H158="AFIII",VLOOKUP($D159,Sheet1!$A$34:$K$48,5,FALSE),IF(H158="UBIII",VLOOKUP($D159,Sheet1!$A$34:$K$48,8,FALSE),VLOOKUP($D159,Sheet1!$A$34:$K$48,2,FALSE))))*0.85,2)</f>
        <v>2.4300000000000002</v>
      </c>
      <c r="G159" s="197">
        <f t="shared" si="194"/>
        <v>2.4300000000000002</v>
      </c>
      <c r="H159" s="198" t="s">
        <v>122</v>
      </c>
      <c r="I159" s="197">
        <f>I158-G159</f>
        <v>7.57</v>
      </c>
      <c r="J159" s="198"/>
      <c r="K159" s="197">
        <f t="shared" si="198"/>
        <v>-1.0399999999999996</v>
      </c>
      <c r="L159" s="197">
        <f t="shared" si="189"/>
        <v>-3.9799999999999978</v>
      </c>
      <c r="M159" s="198"/>
      <c r="N159" s="197"/>
      <c r="O159" s="197">
        <f t="shared" si="202"/>
        <v>-11.540000000000141</v>
      </c>
      <c r="P159" s="198"/>
      <c r="Q159" s="197"/>
      <c r="R159" s="197"/>
      <c r="S159" s="198" t="s">
        <v>87</v>
      </c>
      <c r="T159" s="197">
        <f t="shared" ref="T159" si="206">T158-G159</f>
        <v>27.57</v>
      </c>
      <c r="U159" s="199">
        <f t="shared" ref="U159" si="207">U158-G159</f>
        <v>87.57</v>
      </c>
      <c r="V159" s="206">
        <f>IF(H158="AFIII",VLOOKUP(D159,Sheet1!$A$4:$H$18,5,FALSE),IF(H158="UBIII",VLOOKUP(D159,Sheet1!$A$4:$H$18,8,FALSE),IF(H158="",VLOOKUP(D159,Sheet1!$A$4:$H$18,2,FALSE),"0")))</f>
        <v>1060</v>
      </c>
      <c r="W159" s="206">
        <f t="shared" si="203"/>
        <v>7033</v>
      </c>
      <c r="X159" s="207">
        <f t="shared" si="193"/>
        <v>7433</v>
      </c>
      <c r="Y159" s="180" t="str">
        <f t="shared" si="204"/>
        <v>SUCCESS</v>
      </c>
      <c r="Z159" s="180" t="str">
        <f t="shared" si="205"/>
        <v>ERROR</v>
      </c>
      <c r="AA159" s="185">
        <f t="shared" si="180"/>
        <v>156.18873945748794</v>
      </c>
    </row>
    <row r="160" spans="1:27" ht="12.75" thickTop="1">
      <c r="D160" s="58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X160" s="216"/>
    </row>
    <row r="161" spans="1:27">
      <c r="D161" s="58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X161" s="216"/>
    </row>
    <row r="162" spans="1:27">
      <c r="D162" s="58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X162" s="216"/>
    </row>
    <row r="163" spans="1:27">
      <c r="D163" s="58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X163" s="216"/>
    </row>
    <row r="164" spans="1:27">
      <c r="D164" s="58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X164" s="216"/>
    </row>
    <row r="165" spans="1:27" s="171" customFormat="1">
      <c r="A165" s="112"/>
      <c r="B165" s="113"/>
      <c r="C165" s="112"/>
      <c r="D165" s="58"/>
      <c r="E165" s="182"/>
      <c r="F165" s="182"/>
      <c r="G165" s="182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215"/>
      <c r="W165" s="215"/>
      <c r="X165" s="216"/>
      <c r="AA165" s="58"/>
    </row>
    <row r="166" spans="1:27" s="171" customFormat="1">
      <c r="A166" s="112"/>
      <c r="B166" s="113"/>
      <c r="C166" s="112"/>
      <c r="D166" s="58"/>
      <c r="E166" s="182"/>
      <c r="F166" s="182"/>
      <c r="G166" s="182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215"/>
      <c r="W166" s="215"/>
      <c r="X166" s="216"/>
      <c r="AA166" s="58"/>
    </row>
    <row r="167" spans="1:27" s="171" customFormat="1">
      <c r="A167" s="112"/>
      <c r="B167" s="113"/>
      <c r="C167" s="112"/>
      <c r="D167" s="58"/>
      <c r="E167" s="182"/>
      <c r="F167" s="182"/>
      <c r="G167" s="182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215"/>
      <c r="W167" s="215"/>
      <c r="X167" s="216"/>
      <c r="AA167" s="58"/>
    </row>
    <row r="168" spans="1:27" s="171" customFormat="1">
      <c r="A168" s="112"/>
      <c r="B168" s="113"/>
      <c r="C168" s="112"/>
      <c r="D168" s="58"/>
      <c r="E168" s="182"/>
      <c r="F168" s="182"/>
      <c r="G168" s="182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215"/>
      <c r="W168" s="215"/>
      <c r="X168" s="216"/>
      <c r="AA168" s="58"/>
    </row>
    <row r="169" spans="1:27" s="171" customFormat="1">
      <c r="A169" s="112"/>
      <c r="B169" s="113"/>
      <c r="C169" s="112"/>
      <c r="D169" s="58"/>
      <c r="E169" s="182"/>
      <c r="F169" s="182"/>
      <c r="G169" s="182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215"/>
      <c r="W169" s="215"/>
      <c r="X169" s="216"/>
      <c r="AA169" s="58"/>
    </row>
    <row r="170" spans="1:27" s="171" customFormat="1">
      <c r="A170" s="112"/>
      <c r="B170" s="113"/>
      <c r="C170" s="112"/>
      <c r="D170" s="58"/>
      <c r="E170" s="182"/>
      <c r="F170" s="182"/>
      <c r="G170" s="182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215"/>
      <c r="W170" s="215"/>
      <c r="X170" s="216"/>
      <c r="AA170" s="58"/>
    </row>
    <row r="171" spans="1:27" s="171" customFormat="1">
      <c r="A171" s="112"/>
      <c r="B171" s="113"/>
      <c r="C171" s="112"/>
      <c r="D171" s="58"/>
      <c r="E171" s="182"/>
      <c r="F171" s="182"/>
      <c r="G171" s="182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215"/>
      <c r="W171" s="215"/>
      <c r="X171" s="216"/>
      <c r="AA171" s="58"/>
    </row>
    <row r="172" spans="1:27" s="171" customFormat="1">
      <c r="A172" s="112"/>
      <c r="B172" s="113"/>
      <c r="C172" s="112"/>
      <c r="D172" s="58"/>
      <c r="E172" s="182"/>
      <c r="F172" s="182"/>
      <c r="G172" s="182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215"/>
      <c r="W172" s="215"/>
      <c r="X172" s="216"/>
      <c r="AA172" s="58"/>
    </row>
    <row r="173" spans="1:27" s="171" customFormat="1">
      <c r="A173" s="112"/>
      <c r="B173" s="113"/>
      <c r="C173" s="112"/>
      <c r="D173" s="58"/>
      <c r="E173" s="182"/>
      <c r="F173" s="182"/>
      <c r="G173" s="182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215"/>
      <c r="W173" s="215"/>
      <c r="X173" s="216"/>
      <c r="AA173" s="58"/>
    </row>
    <row r="174" spans="1:27" s="171" customFormat="1">
      <c r="A174" s="112"/>
      <c r="B174" s="113"/>
      <c r="C174" s="112"/>
      <c r="D174" s="58"/>
      <c r="E174" s="182"/>
      <c r="F174" s="182"/>
      <c r="G174" s="182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215"/>
      <c r="W174" s="215"/>
      <c r="X174" s="216"/>
      <c r="AA174" s="58"/>
    </row>
    <row r="175" spans="1:27" s="171" customFormat="1">
      <c r="A175" s="112"/>
      <c r="B175" s="113"/>
      <c r="C175" s="112"/>
      <c r="D175" s="58"/>
      <c r="E175" s="182"/>
      <c r="F175" s="182"/>
      <c r="G175" s="182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215"/>
      <c r="W175" s="215"/>
      <c r="X175" s="216"/>
      <c r="AA175" s="58"/>
    </row>
    <row r="176" spans="1:27" s="171" customFormat="1">
      <c r="A176" s="112"/>
      <c r="B176" s="113"/>
      <c r="C176" s="112"/>
      <c r="D176" s="58"/>
      <c r="E176" s="182"/>
      <c r="F176" s="182"/>
      <c r="G176" s="182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215"/>
      <c r="W176" s="215"/>
      <c r="X176" s="216"/>
      <c r="AA176" s="58"/>
    </row>
    <row r="177" spans="1:27" s="171" customFormat="1">
      <c r="A177" s="112"/>
      <c r="B177" s="113"/>
      <c r="C177" s="112"/>
      <c r="D177" s="58"/>
      <c r="E177" s="182"/>
      <c r="F177" s="182"/>
      <c r="G177" s="182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215"/>
      <c r="W177" s="215"/>
      <c r="X177" s="216"/>
      <c r="AA177" s="58"/>
    </row>
    <row r="178" spans="1:27" s="171" customFormat="1">
      <c r="A178" s="112"/>
      <c r="B178" s="113"/>
      <c r="C178" s="112"/>
      <c r="D178" s="58"/>
      <c r="E178" s="182"/>
      <c r="F178" s="182"/>
      <c r="G178" s="182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215"/>
      <c r="W178" s="215"/>
      <c r="X178" s="216"/>
      <c r="AA178" s="58"/>
    </row>
    <row r="179" spans="1:27" s="171" customFormat="1">
      <c r="A179" s="112"/>
      <c r="B179" s="113"/>
      <c r="C179" s="112"/>
      <c r="D179" s="58"/>
      <c r="E179" s="182"/>
      <c r="F179" s="182"/>
      <c r="G179" s="182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215"/>
      <c r="W179" s="215"/>
      <c r="X179" s="216"/>
      <c r="AA179" s="58"/>
    </row>
    <row r="180" spans="1:27" s="171" customFormat="1">
      <c r="A180" s="112"/>
      <c r="B180" s="113"/>
      <c r="C180" s="112"/>
      <c r="D180" s="58"/>
      <c r="E180" s="182"/>
      <c r="F180" s="182"/>
      <c r="G180" s="182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215"/>
      <c r="W180" s="215"/>
      <c r="X180" s="216"/>
      <c r="AA180" s="58"/>
    </row>
    <row r="181" spans="1:27" s="171" customFormat="1">
      <c r="A181" s="112"/>
      <c r="B181" s="113"/>
      <c r="C181" s="112"/>
      <c r="D181" s="58"/>
      <c r="E181" s="182"/>
      <c r="F181" s="182"/>
      <c r="G181" s="182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215"/>
      <c r="W181" s="215"/>
      <c r="X181" s="216"/>
      <c r="AA181" s="58"/>
    </row>
    <row r="182" spans="1:27" s="171" customFormat="1">
      <c r="A182" s="112"/>
      <c r="B182" s="113"/>
      <c r="C182" s="112"/>
      <c r="D182" s="58"/>
      <c r="E182" s="182"/>
      <c r="F182" s="182"/>
      <c r="G182" s="182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215"/>
      <c r="W182" s="215"/>
      <c r="X182" s="216"/>
      <c r="AA182" s="58"/>
    </row>
    <row r="183" spans="1:27" s="171" customFormat="1">
      <c r="A183" s="112"/>
      <c r="B183" s="113"/>
      <c r="C183" s="112"/>
      <c r="D183" s="58"/>
      <c r="E183" s="182"/>
      <c r="F183" s="182"/>
      <c r="G183" s="182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215"/>
      <c r="W183" s="215"/>
      <c r="X183" s="216"/>
      <c r="AA183" s="58"/>
    </row>
    <row r="184" spans="1:27" s="171" customFormat="1">
      <c r="A184" s="112"/>
      <c r="B184" s="113"/>
      <c r="C184" s="112"/>
      <c r="D184" s="58"/>
      <c r="E184" s="182"/>
      <c r="F184" s="182"/>
      <c r="G184" s="182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215"/>
      <c r="W184" s="215"/>
      <c r="X184" s="216"/>
      <c r="AA184" s="58"/>
    </row>
    <row r="185" spans="1:27" s="171" customFormat="1">
      <c r="A185" s="112"/>
      <c r="B185" s="113"/>
      <c r="C185" s="112"/>
      <c r="D185" s="58"/>
      <c r="E185" s="182"/>
      <c r="F185" s="182"/>
      <c r="G185" s="182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215"/>
      <c r="W185" s="215"/>
      <c r="X185" s="216"/>
      <c r="AA185" s="58"/>
    </row>
    <row r="186" spans="1:27" s="171" customFormat="1">
      <c r="A186" s="112"/>
      <c r="B186" s="113"/>
      <c r="C186" s="112"/>
      <c r="D186" s="58"/>
      <c r="E186" s="182"/>
      <c r="F186" s="182"/>
      <c r="G186" s="182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215"/>
      <c r="W186" s="215"/>
      <c r="X186" s="216"/>
      <c r="AA186" s="58"/>
    </row>
    <row r="187" spans="1:27" s="171" customFormat="1">
      <c r="A187" s="112"/>
      <c r="B187" s="113"/>
      <c r="C187" s="112"/>
      <c r="D187" s="58"/>
      <c r="E187" s="182"/>
      <c r="F187" s="182"/>
      <c r="G187" s="182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215"/>
      <c r="W187" s="215"/>
      <c r="X187" s="216"/>
      <c r="AA187" s="58"/>
    </row>
    <row r="188" spans="1:27" s="171" customFormat="1">
      <c r="A188" s="112"/>
      <c r="B188" s="113"/>
      <c r="C188" s="112"/>
      <c r="D188" s="58"/>
      <c r="E188" s="182"/>
      <c r="F188" s="182"/>
      <c r="G188" s="182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215"/>
      <c r="W188" s="215"/>
      <c r="X188" s="216"/>
      <c r="AA188" s="58"/>
    </row>
    <row r="189" spans="1:27" s="171" customFormat="1">
      <c r="A189" s="112"/>
      <c r="B189" s="113"/>
      <c r="C189" s="112"/>
      <c r="D189" s="58"/>
      <c r="E189" s="182"/>
      <c r="F189" s="182"/>
      <c r="G189" s="182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215"/>
      <c r="W189" s="215"/>
      <c r="X189" s="216"/>
      <c r="AA189" s="58"/>
    </row>
    <row r="190" spans="1:27" s="171" customFormat="1">
      <c r="A190" s="112"/>
      <c r="B190" s="113"/>
      <c r="C190" s="112"/>
      <c r="D190" s="58"/>
      <c r="E190" s="182"/>
      <c r="F190" s="182"/>
      <c r="G190" s="182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215"/>
      <c r="W190" s="215"/>
      <c r="X190" s="216"/>
      <c r="AA190" s="58"/>
    </row>
    <row r="191" spans="1:27" s="171" customFormat="1">
      <c r="A191" s="112"/>
      <c r="B191" s="113"/>
      <c r="C191" s="112"/>
      <c r="D191" s="58"/>
      <c r="E191" s="182"/>
      <c r="F191" s="182"/>
      <c r="G191" s="182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215"/>
      <c r="W191" s="215"/>
      <c r="X191" s="216"/>
      <c r="AA191" s="58"/>
    </row>
    <row r="192" spans="1:27" s="171" customFormat="1">
      <c r="A192" s="112"/>
      <c r="B192" s="113"/>
      <c r="C192" s="112"/>
      <c r="D192" s="58"/>
      <c r="E192" s="182"/>
      <c r="F192" s="182"/>
      <c r="G192" s="182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215"/>
      <c r="W192" s="215"/>
      <c r="X192" s="216"/>
      <c r="AA192" s="58"/>
    </row>
    <row r="193" spans="1:27" s="171" customFormat="1">
      <c r="A193" s="112"/>
      <c r="B193" s="113"/>
      <c r="C193" s="112"/>
      <c r="D193" s="58"/>
      <c r="E193" s="182"/>
      <c r="F193" s="182"/>
      <c r="G193" s="182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215"/>
      <c r="W193" s="215"/>
      <c r="X193" s="216"/>
      <c r="AA193" s="58"/>
    </row>
    <row r="194" spans="1:27" s="171" customFormat="1">
      <c r="A194" s="112"/>
      <c r="B194" s="113"/>
      <c r="C194" s="112"/>
      <c r="D194" s="58"/>
      <c r="E194" s="182"/>
      <c r="F194" s="182"/>
      <c r="G194" s="182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215"/>
      <c r="W194" s="215"/>
      <c r="X194" s="216"/>
      <c r="AA194" s="58"/>
    </row>
    <row r="195" spans="1:27" s="171" customFormat="1">
      <c r="A195" s="112"/>
      <c r="B195" s="113"/>
      <c r="C195" s="112"/>
      <c r="D195" s="58"/>
      <c r="E195" s="182"/>
      <c r="F195" s="182"/>
      <c r="G195" s="182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215"/>
      <c r="W195" s="215"/>
      <c r="X195" s="216"/>
      <c r="AA195" s="58"/>
    </row>
    <row r="196" spans="1:27" s="171" customFormat="1">
      <c r="A196" s="112"/>
      <c r="B196" s="113"/>
      <c r="C196" s="112"/>
      <c r="D196" s="58"/>
      <c r="E196" s="182"/>
      <c r="F196" s="182"/>
      <c r="G196" s="182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215"/>
      <c r="W196" s="215"/>
      <c r="X196" s="216"/>
      <c r="AA196" s="58"/>
    </row>
    <row r="197" spans="1:27" s="171" customFormat="1">
      <c r="A197" s="112"/>
      <c r="B197" s="113"/>
      <c r="C197" s="112"/>
      <c r="D197" s="58"/>
      <c r="E197" s="182"/>
      <c r="F197" s="182"/>
      <c r="G197" s="182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215"/>
      <c r="W197" s="215"/>
      <c r="X197" s="216"/>
      <c r="AA197" s="58"/>
    </row>
    <row r="198" spans="1:27" s="171" customFormat="1">
      <c r="A198" s="112"/>
      <c r="B198" s="113"/>
      <c r="C198" s="112"/>
      <c r="D198" s="58"/>
      <c r="E198" s="182"/>
      <c r="F198" s="182"/>
      <c r="G198" s="182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215"/>
      <c r="W198" s="215"/>
      <c r="X198" s="216"/>
      <c r="AA198" s="58"/>
    </row>
    <row r="199" spans="1:27" s="171" customFormat="1">
      <c r="A199" s="112"/>
      <c r="B199" s="113"/>
      <c r="C199" s="112"/>
      <c r="D199" s="58"/>
      <c r="E199" s="182"/>
      <c r="F199" s="182"/>
      <c r="G199" s="182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215"/>
      <c r="W199" s="215"/>
      <c r="X199" s="216"/>
      <c r="AA199" s="58"/>
    </row>
    <row r="200" spans="1:27" s="171" customFormat="1">
      <c r="A200" s="112"/>
      <c r="B200" s="113"/>
      <c r="C200" s="112"/>
      <c r="D200" s="58"/>
      <c r="E200" s="182"/>
      <c r="F200" s="182"/>
      <c r="G200" s="182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215"/>
      <c r="W200" s="215"/>
      <c r="X200" s="216"/>
      <c r="AA200" s="58"/>
    </row>
    <row r="201" spans="1:27" s="171" customFormat="1">
      <c r="A201" s="112"/>
      <c r="B201" s="113"/>
      <c r="C201" s="112"/>
      <c r="D201" s="58"/>
      <c r="E201" s="182"/>
      <c r="F201" s="182"/>
      <c r="G201" s="182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215"/>
      <c r="W201" s="215"/>
      <c r="X201" s="216"/>
      <c r="AA201" s="58"/>
    </row>
    <row r="202" spans="1:27" s="171" customFormat="1">
      <c r="A202" s="112"/>
      <c r="B202" s="113"/>
      <c r="C202" s="112"/>
      <c r="D202" s="58"/>
      <c r="E202" s="182"/>
      <c r="F202" s="182"/>
      <c r="G202" s="182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215"/>
      <c r="W202" s="215"/>
      <c r="X202" s="216"/>
      <c r="AA202" s="58"/>
    </row>
    <row r="203" spans="1:27" s="171" customFormat="1">
      <c r="A203" s="112"/>
      <c r="B203" s="113"/>
      <c r="C203" s="112"/>
      <c r="D203" s="58"/>
      <c r="E203" s="182"/>
      <c r="F203" s="182"/>
      <c r="G203" s="182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215"/>
      <c r="W203" s="215"/>
      <c r="X203" s="216"/>
      <c r="AA203" s="58"/>
    </row>
    <row r="204" spans="1:27" s="171" customFormat="1">
      <c r="A204" s="112"/>
      <c r="B204" s="113"/>
      <c r="C204" s="112"/>
      <c r="D204" s="58"/>
      <c r="E204" s="182"/>
      <c r="F204" s="182"/>
      <c r="G204" s="182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215"/>
      <c r="W204" s="215"/>
      <c r="X204" s="216"/>
      <c r="AA204" s="58"/>
    </row>
    <row r="205" spans="1:27" s="171" customFormat="1">
      <c r="A205" s="112"/>
      <c r="B205" s="113"/>
      <c r="C205" s="112"/>
      <c r="D205" s="58"/>
      <c r="E205" s="182"/>
      <c r="F205" s="182"/>
      <c r="G205" s="182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215"/>
      <c r="W205" s="215"/>
      <c r="X205" s="216"/>
      <c r="AA205" s="58"/>
    </row>
    <row r="206" spans="1:27" s="171" customFormat="1">
      <c r="A206" s="112"/>
      <c r="B206" s="113"/>
      <c r="C206" s="112"/>
      <c r="D206" s="58"/>
      <c r="E206" s="182"/>
      <c r="F206" s="182"/>
      <c r="G206" s="182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215"/>
      <c r="W206" s="215"/>
      <c r="X206" s="216"/>
      <c r="AA206" s="58"/>
    </row>
    <row r="207" spans="1:27" s="171" customFormat="1">
      <c r="A207" s="112"/>
      <c r="B207" s="113"/>
      <c r="C207" s="112"/>
      <c r="D207" s="58"/>
      <c r="E207" s="182"/>
      <c r="F207" s="182"/>
      <c r="G207" s="182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215"/>
      <c r="W207" s="215"/>
      <c r="X207" s="216"/>
      <c r="AA207" s="58"/>
    </row>
    <row r="208" spans="1:27" s="171" customFormat="1">
      <c r="A208" s="112"/>
      <c r="B208" s="113"/>
      <c r="C208" s="112"/>
      <c r="D208" s="58"/>
      <c r="E208" s="182"/>
      <c r="F208" s="182"/>
      <c r="G208" s="182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215"/>
      <c r="W208" s="215"/>
      <c r="X208" s="216"/>
      <c r="AA208" s="58"/>
    </row>
    <row r="209" spans="1:27" s="171" customFormat="1">
      <c r="A209" s="112"/>
      <c r="B209" s="113"/>
      <c r="C209" s="112"/>
      <c r="D209" s="58"/>
      <c r="E209" s="182"/>
      <c r="F209" s="182"/>
      <c r="G209" s="182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215"/>
      <c r="W209" s="215"/>
      <c r="X209" s="216"/>
      <c r="AA209" s="58"/>
    </row>
    <row r="210" spans="1:27" s="171" customFormat="1">
      <c r="A210" s="112"/>
      <c r="B210" s="113"/>
      <c r="C210" s="112"/>
      <c r="D210" s="58"/>
      <c r="E210" s="182"/>
      <c r="F210" s="182"/>
      <c r="G210" s="182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215"/>
      <c r="W210" s="215"/>
      <c r="X210" s="216"/>
      <c r="AA210" s="58"/>
    </row>
    <row r="211" spans="1:27" s="171" customFormat="1">
      <c r="A211" s="112"/>
      <c r="B211" s="113"/>
      <c r="C211" s="112"/>
      <c r="D211" s="58"/>
      <c r="E211" s="182"/>
      <c r="F211" s="182"/>
      <c r="G211" s="182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215"/>
      <c r="W211" s="215"/>
      <c r="X211" s="216"/>
      <c r="AA211" s="58"/>
    </row>
    <row r="212" spans="1:27" s="171" customFormat="1">
      <c r="A212" s="112"/>
      <c r="B212" s="113"/>
      <c r="C212" s="112"/>
      <c r="D212" s="58"/>
      <c r="E212" s="182"/>
      <c r="F212" s="182"/>
      <c r="G212" s="182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215"/>
      <c r="W212" s="215"/>
      <c r="X212" s="216"/>
      <c r="AA212" s="58"/>
    </row>
    <row r="213" spans="1:27" s="171" customFormat="1">
      <c r="A213" s="112"/>
      <c r="B213" s="113"/>
      <c r="C213" s="112"/>
      <c r="D213" s="58"/>
      <c r="E213" s="182"/>
      <c r="F213" s="182"/>
      <c r="G213" s="182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215"/>
      <c r="W213" s="215"/>
      <c r="X213" s="216"/>
      <c r="AA213" s="58"/>
    </row>
    <row r="214" spans="1:27" s="171" customFormat="1">
      <c r="A214" s="112"/>
      <c r="B214" s="113"/>
      <c r="C214" s="112"/>
      <c r="D214" s="58"/>
      <c r="E214" s="182"/>
      <c r="F214" s="182"/>
      <c r="G214" s="182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215"/>
      <c r="W214" s="215"/>
      <c r="X214" s="216"/>
      <c r="AA214" s="58"/>
    </row>
    <row r="215" spans="1:27" s="171" customFormat="1">
      <c r="A215" s="112"/>
      <c r="B215" s="113"/>
      <c r="C215" s="112"/>
      <c r="D215" s="58"/>
      <c r="E215" s="182"/>
      <c r="F215" s="182"/>
      <c r="G215" s="182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215"/>
      <c r="W215" s="215"/>
      <c r="X215" s="216"/>
      <c r="AA215" s="58"/>
    </row>
    <row r="216" spans="1:27" s="171" customFormat="1">
      <c r="A216" s="112"/>
      <c r="B216" s="113"/>
      <c r="C216" s="112"/>
      <c r="D216" s="58"/>
      <c r="E216" s="182"/>
      <c r="F216" s="182"/>
      <c r="G216" s="182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215"/>
      <c r="W216" s="215"/>
      <c r="X216" s="216"/>
      <c r="AA216" s="58"/>
    </row>
    <row r="217" spans="1:27" s="171" customFormat="1">
      <c r="A217" s="112"/>
      <c r="B217" s="113"/>
      <c r="C217" s="112"/>
      <c r="D217" s="58"/>
      <c r="E217" s="182"/>
      <c r="F217" s="182"/>
      <c r="G217" s="182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215"/>
      <c r="W217" s="215"/>
      <c r="X217" s="216"/>
      <c r="AA217" s="58"/>
    </row>
    <row r="218" spans="1:27" s="171" customFormat="1">
      <c r="A218" s="112"/>
      <c r="B218" s="113"/>
      <c r="C218" s="112"/>
      <c r="D218" s="58"/>
      <c r="E218" s="182"/>
      <c r="F218" s="182"/>
      <c r="G218" s="182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215"/>
      <c r="W218" s="215"/>
      <c r="X218" s="216"/>
      <c r="AA218" s="58"/>
    </row>
    <row r="219" spans="1:27" s="171" customFormat="1">
      <c r="A219" s="112"/>
      <c r="B219" s="113"/>
      <c r="C219" s="112"/>
      <c r="D219" s="58"/>
      <c r="E219" s="182"/>
      <c r="F219" s="182"/>
      <c r="G219" s="182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215"/>
      <c r="W219" s="215"/>
      <c r="X219" s="216"/>
      <c r="AA219" s="58"/>
    </row>
    <row r="220" spans="1:27" s="171" customFormat="1">
      <c r="A220" s="112"/>
      <c r="B220" s="113"/>
      <c r="C220" s="112"/>
      <c r="D220" s="58"/>
      <c r="E220" s="182"/>
      <c r="F220" s="182"/>
      <c r="G220" s="182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215"/>
      <c r="W220" s="215"/>
      <c r="X220" s="216"/>
      <c r="AA220" s="58"/>
    </row>
    <row r="221" spans="1:27" s="171" customFormat="1">
      <c r="A221" s="112"/>
      <c r="B221" s="113"/>
      <c r="C221" s="112"/>
      <c r="D221" s="58"/>
      <c r="E221" s="182"/>
      <c r="F221" s="182"/>
      <c r="G221" s="182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215"/>
      <c r="W221" s="215"/>
      <c r="X221" s="216"/>
      <c r="AA221" s="58"/>
    </row>
    <row r="222" spans="1:27" s="171" customFormat="1">
      <c r="A222" s="112"/>
      <c r="B222" s="113"/>
      <c r="C222" s="112"/>
      <c r="D222" s="58"/>
      <c r="E222" s="182"/>
      <c r="F222" s="182"/>
      <c r="G222" s="182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215"/>
      <c r="W222" s="215"/>
      <c r="X222" s="216"/>
      <c r="AA222" s="58"/>
    </row>
    <row r="223" spans="1:27" s="171" customFormat="1">
      <c r="A223" s="112"/>
      <c r="B223" s="113"/>
      <c r="C223" s="112"/>
      <c r="D223" s="58"/>
      <c r="E223" s="182"/>
      <c r="F223" s="182"/>
      <c r="G223" s="182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215"/>
      <c r="W223" s="215"/>
      <c r="X223" s="216"/>
      <c r="AA223" s="58"/>
    </row>
    <row r="224" spans="1:27" s="171" customFormat="1">
      <c r="A224" s="112"/>
      <c r="B224" s="113"/>
      <c r="C224" s="112"/>
      <c r="D224" s="58"/>
      <c r="E224" s="182"/>
      <c r="F224" s="182"/>
      <c r="G224" s="182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215"/>
      <c r="W224" s="215"/>
      <c r="X224" s="216"/>
      <c r="AA224" s="58"/>
    </row>
    <row r="225" spans="1:27" s="171" customFormat="1">
      <c r="A225" s="112"/>
      <c r="B225" s="113"/>
      <c r="C225" s="112"/>
      <c r="D225" s="58"/>
      <c r="E225" s="182"/>
      <c r="F225" s="182"/>
      <c r="G225" s="182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215"/>
      <c r="W225" s="215"/>
      <c r="X225" s="216"/>
      <c r="AA225" s="58"/>
    </row>
    <row r="226" spans="1:27" s="171" customFormat="1">
      <c r="A226" s="112"/>
      <c r="B226" s="113"/>
      <c r="C226" s="112"/>
      <c r="D226" s="58"/>
      <c r="E226" s="182"/>
      <c r="F226" s="182"/>
      <c r="G226" s="182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215"/>
      <c r="W226" s="215"/>
      <c r="X226" s="216"/>
      <c r="AA226" s="58"/>
    </row>
    <row r="227" spans="1:27" s="171" customFormat="1">
      <c r="A227" s="112"/>
      <c r="B227" s="113"/>
      <c r="C227" s="112"/>
      <c r="D227" s="58"/>
      <c r="E227" s="182"/>
      <c r="F227" s="182"/>
      <c r="G227" s="182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215"/>
      <c r="W227" s="215"/>
      <c r="X227" s="216"/>
      <c r="AA227" s="58"/>
    </row>
  </sheetData>
  <mergeCells count="6">
    <mergeCell ref="K1:L1"/>
    <mergeCell ref="N1:O1"/>
    <mergeCell ref="Q1:R1"/>
    <mergeCell ref="D2:G2"/>
    <mergeCell ref="H2:U2"/>
    <mergeCell ref="V2:W2"/>
  </mergeCells>
  <phoneticPr fontId="1"/>
  <conditionalFormatting sqref="P1 H1:J26 K2:P26 S1:W97 Q2:R97 D98:W1048576 X3:X159 D24:X86 H16:P103 D1:G159 H93:X159 D101:X159 Q16:X159">
    <cfRule type="expression" dxfId="0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1"/>
  <sheetViews>
    <sheetView topLeftCell="A31" workbookViewId="0">
      <selection activeCell="E59" sqref="E59"/>
    </sheetView>
  </sheetViews>
  <sheetFormatPr defaultRowHeight="14.25"/>
  <cols>
    <col min="1" max="11" width="8.625" style="1" customWidth="1"/>
    <col min="12" max="20" width="9.125" style="1" customWidth="1"/>
    <col min="21" max="21" width="9.625" style="1" customWidth="1"/>
    <col min="22" max="24" width="5.625" style="1" customWidth="1"/>
    <col min="25" max="25" width="9" style="1"/>
    <col min="26" max="26" width="16" style="1" bestFit="1" customWidth="1"/>
    <col min="27" max="27" width="11.5" style="1" bestFit="1" customWidth="1"/>
    <col min="28" max="16384" width="9" style="1"/>
  </cols>
  <sheetData>
    <row r="1" spans="1:34">
      <c r="A1" s="282" t="s">
        <v>22</v>
      </c>
      <c r="B1" s="283"/>
      <c r="C1" s="283"/>
      <c r="D1" s="283"/>
      <c r="E1" s="283"/>
      <c r="F1" s="283"/>
      <c r="G1" s="283"/>
      <c r="H1" s="283"/>
      <c r="I1" s="284"/>
      <c r="J1" s="2"/>
      <c r="K1" s="282" t="s">
        <v>33</v>
      </c>
      <c r="L1" s="283"/>
      <c r="M1" s="283"/>
      <c r="N1" s="283"/>
      <c r="O1" s="283"/>
      <c r="P1" s="283"/>
      <c r="Q1" s="283"/>
      <c r="R1" s="283"/>
      <c r="S1" s="284"/>
      <c r="Z1" s="242" t="s">
        <v>192</v>
      </c>
      <c r="AA1" s="243"/>
      <c r="AB1" s="243"/>
      <c r="AC1" s="243"/>
      <c r="AD1" s="243"/>
      <c r="AE1" s="243"/>
      <c r="AF1" s="243"/>
      <c r="AG1" s="243"/>
      <c r="AH1" s="244"/>
    </row>
    <row r="2" spans="1:34">
      <c r="A2" s="285" t="s">
        <v>60</v>
      </c>
      <c r="B2" s="265" t="s">
        <v>61</v>
      </c>
      <c r="C2" s="266" t="s">
        <v>62</v>
      </c>
      <c r="D2" s="266"/>
      <c r="E2" s="266"/>
      <c r="F2" s="286" t="s">
        <v>56</v>
      </c>
      <c r="G2" s="286"/>
      <c r="H2" s="286"/>
      <c r="I2" s="297" t="s">
        <v>28</v>
      </c>
      <c r="J2" s="2"/>
      <c r="K2" s="285" t="s">
        <v>60</v>
      </c>
      <c r="L2" s="265" t="s">
        <v>61</v>
      </c>
      <c r="M2" s="266" t="s">
        <v>62</v>
      </c>
      <c r="N2" s="266"/>
      <c r="O2" s="266"/>
      <c r="P2" s="286" t="s">
        <v>56</v>
      </c>
      <c r="Q2" s="286"/>
      <c r="R2" s="286"/>
      <c r="S2" s="297" t="s">
        <v>34</v>
      </c>
      <c r="U2" s="4" t="s">
        <v>32</v>
      </c>
      <c r="V2" s="4" t="s">
        <v>98</v>
      </c>
      <c r="W2" s="4" t="s">
        <v>106</v>
      </c>
      <c r="X2" s="5"/>
      <c r="Z2" s="144" t="s">
        <v>159</v>
      </c>
      <c r="AA2" s="145" t="s">
        <v>160</v>
      </c>
      <c r="AB2" s="145" t="s">
        <v>161</v>
      </c>
      <c r="AC2" s="145" t="s">
        <v>162</v>
      </c>
      <c r="AD2" s="145" t="s">
        <v>163</v>
      </c>
      <c r="AE2" s="145" t="s">
        <v>164</v>
      </c>
      <c r="AF2" s="145" t="s">
        <v>165</v>
      </c>
      <c r="AG2" s="145" t="s">
        <v>166</v>
      </c>
      <c r="AH2" s="146" t="s">
        <v>167</v>
      </c>
    </row>
    <row r="3" spans="1:34">
      <c r="A3" s="285"/>
      <c r="B3" s="265"/>
      <c r="C3" s="7" t="s">
        <v>57</v>
      </c>
      <c r="D3" s="7" t="s">
        <v>58</v>
      </c>
      <c r="E3" s="7" t="s">
        <v>59</v>
      </c>
      <c r="F3" s="8" t="s">
        <v>57</v>
      </c>
      <c r="G3" s="8" t="s">
        <v>58</v>
      </c>
      <c r="H3" s="8" t="s">
        <v>59</v>
      </c>
      <c r="I3" s="297"/>
      <c r="J3" s="2"/>
      <c r="K3" s="285"/>
      <c r="L3" s="265"/>
      <c r="M3" s="7" t="s">
        <v>57</v>
      </c>
      <c r="N3" s="7" t="s">
        <v>58</v>
      </c>
      <c r="O3" s="7" t="s">
        <v>59</v>
      </c>
      <c r="P3" s="8" t="s">
        <v>57</v>
      </c>
      <c r="Q3" s="8" t="s">
        <v>58</v>
      </c>
      <c r="R3" s="8" t="s">
        <v>59</v>
      </c>
      <c r="S3" s="297"/>
      <c r="U3" s="4" t="s">
        <v>96</v>
      </c>
      <c r="V3" s="5">
        <v>180</v>
      </c>
      <c r="W3" s="5">
        <v>20</v>
      </c>
      <c r="X3" s="5"/>
      <c r="Z3" s="147" t="s">
        <v>168</v>
      </c>
      <c r="AA3" s="148">
        <v>0.95</v>
      </c>
      <c r="AB3" s="148">
        <v>0.9</v>
      </c>
      <c r="AC3" s="148">
        <v>1</v>
      </c>
      <c r="AD3" s="148">
        <v>0.5</v>
      </c>
      <c r="AE3" s="148">
        <v>0.95</v>
      </c>
      <c r="AF3" s="148">
        <v>0.8</v>
      </c>
      <c r="AG3" s="148">
        <v>1.1000000000000001</v>
      </c>
      <c r="AH3" s="149">
        <v>5</v>
      </c>
    </row>
    <row r="4" spans="1:34">
      <c r="A4" s="28" t="s">
        <v>63</v>
      </c>
      <c r="B4" s="29">
        <f t="shared" ref="B4:B11" si="0">ROUNDDOWN($I4*$B$27,0)</f>
        <v>1060</v>
      </c>
      <c r="C4" s="30">
        <f t="shared" ref="C4:H6" si="1">ROUNDDOWN(ROUNDDOWN($I4*$B$27,0)*B$23,0)</f>
        <v>2120</v>
      </c>
      <c r="D4" s="30">
        <f t="shared" si="1"/>
        <v>2120</v>
      </c>
      <c r="E4" s="30">
        <f t="shared" si="1"/>
        <v>2120</v>
      </c>
      <c r="F4" s="31">
        <f t="shared" si="1"/>
        <v>530</v>
      </c>
      <c r="G4" s="31">
        <f t="shared" si="1"/>
        <v>265</v>
      </c>
      <c r="H4" s="31">
        <f t="shared" si="1"/>
        <v>265</v>
      </c>
      <c r="I4" s="32">
        <v>1.2</v>
      </c>
      <c r="K4" s="9" t="s">
        <v>63</v>
      </c>
      <c r="L4" s="10">
        <f t="shared" ref="L4:L15" si="2">ROUNDDOWN($S4*$L$28,0)</f>
        <v>180</v>
      </c>
      <c r="M4" s="11">
        <f t="shared" ref="M4:R10" si="3">ROUNDDOWN(ROUNDDOWN($S4*$L$28,0)*L$24,0)</f>
        <v>252</v>
      </c>
      <c r="N4" s="11">
        <f t="shared" si="3"/>
        <v>288</v>
      </c>
      <c r="O4" s="11">
        <f t="shared" si="3"/>
        <v>324</v>
      </c>
      <c r="P4" s="12">
        <f t="shared" si="3"/>
        <v>162</v>
      </c>
      <c r="Q4" s="12">
        <f t="shared" si="3"/>
        <v>144</v>
      </c>
      <c r="R4" s="12">
        <f t="shared" si="3"/>
        <v>126</v>
      </c>
      <c r="S4" s="13">
        <v>180</v>
      </c>
      <c r="U4" s="4" t="s">
        <v>97</v>
      </c>
      <c r="V4" s="5">
        <v>120</v>
      </c>
      <c r="W4" s="5">
        <v>15</v>
      </c>
      <c r="X4" s="5"/>
      <c r="Z4" s="150" t="s">
        <v>169</v>
      </c>
      <c r="AA4" s="151">
        <v>1</v>
      </c>
      <c r="AB4" s="151">
        <v>0.95</v>
      </c>
      <c r="AC4" s="151">
        <v>1.1000000000000001</v>
      </c>
      <c r="AD4" s="151">
        <v>0.6</v>
      </c>
      <c r="AE4" s="151">
        <v>1</v>
      </c>
      <c r="AF4" s="151">
        <v>0.85</v>
      </c>
      <c r="AG4" s="151">
        <v>1.2</v>
      </c>
      <c r="AH4" s="152">
        <v>6</v>
      </c>
    </row>
    <row r="5" spans="1:34">
      <c r="A5" s="28" t="s">
        <v>128</v>
      </c>
      <c r="B5" s="29">
        <f t="shared" si="0"/>
        <v>1060</v>
      </c>
      <c r="C5" s="30">
        <f t="shared" si="1"/>
        <v>2120</v>
      </c>
      <c r="D5" s="30">
        <f t="shared" si="1"/>
        <v>2120</v>
      </c>
      <c r="E5" s="30">
        <f t="shared" si="1"/>
        <v>2120</v>
      </c>
      <c r="F5" s="31">
        <f t="shared" si="1"/>
        <v>530</v>
      </c>
      <c r="G5" s="31">
        <f t="shared" si="1"/>
        <v>265</v>
      </c>
      <c r="H5" s="31">
        <f t="shared" si="1"/>
        <v>265</v>
      </c>
      <c r="I5" s="32">
        <v>1.2</v>
      </c>
      <c r="K5" s="9" t="s">
        <v>128</v>
      </c>
      <c r="L5" s="10">
        <f t="shared" si="2"/>
        <v>180</v>
      </c>
      <c r="M5" s="11">
        <f t="shared" si="3"/>
        <v>252</v>
      </c>
      <c r="N5" s="11">
        <f t="shared" si="3"/>
        <v>288</v>
      </c>
      <c r="O5" s="11">
        <f>S51</f>
        <v>496.8</v>
      </c>
      <c r="P5" s="12">
        <f t="shared" si="3"/>
        <v>162</v>
      </c>
      <c r="Q5" s="12">
        <f t="shared" si="3"/>
        <v>144</v>
      </c>
      <c r="R5" s="12">
        <f t="shared" si="3"/>
        <v>126</v>
      </c>
      <c r="S5" s="13">
        <v>180</v>
      </c>
      <c r="U5" s="4" t="s">
        <v>100</v>
      </c>
      <c r="V5" s="5">
        <v>180</v>
      </c>
      <c r="W5" s="6" t="s">
        <v>86</v>
      </c>
      <c r="X5" s="5"/>
      <c r="Z5" s="147" t="s">
        <v>170</v>
      </c>
      <c r="AA5" s="148">
        <v>1</v>
      </c>
      <c r="AB5" s="148">
        <v>1</v>
      </c>
      <c r="AC5" s="148">
        <v>0.95</v>
      </c>
      <c r="AD5" s="148">
        <v>0.45</v>
      </c>
      <c r="AE5" s="148">
        <v>0.85</v>
      </c>
      <c r="AF5" s="148">
        <v>0.6</v>
      </c>
      <c r="AG5" s="148">
        <v>1.05</v>
      </c>
      <c r="AH5" s="149">
        <v>3.5</v>
      </c>
    </row>
    <row r="6" spans="1:34">
      <c r="A6" s="28" t="s">
        <v>64</v>
      </c>
      <c r="B6" s="29">
        <f t="shared" si="0"/>
        <v>1414</v>
      </c>
      <c r="C6" s="30">
        <f t="shared" si="1"/>
        <v>2828</v>
      </c>
      <c r="D6" s="30">
        <f t="shared" si="1"/>
        <v>2828</v>
      </c>
      <c r="E6" s="30">
        <f t="shared" si="1"/>
        <v>2828</v>
      </c>
      <c r="F6" s="31">
        <f t="shared" si="1"/>
        <v>707</v>
      </c>
      <c r="G6" s="31">
        <f t="shared" si="1"/>
        <v>353</v>
      </c>
      <c r="H6" s="31">
        <f t="shared" si="1"/>
        <v>353</v>
      </c>
      <c r="I6" s="32">
        <v>1.6</v>
      </c>
      <c r="K6" s="9" t="s">
        <v>64</v>
      </c>
      <c r="L6" s="10">
        <f t="shared" si="2"/>
        <v>100</v>
      </c>
      <c r="M6" s="11">
        <f t="shared" si="3"/>
        <v>140</v>
      </c>
      <c r="N6" s="11">
        <f t="shared" si="3"/>
        <v>160</v>
      </c>
      <c r="O6" s="11">
        <f t="shared" si="3"/>
        <v>180</v>
      </c>
      <c r="P6" s="12">
        <f t="shared" si="3"/>
        <v>90</v>
      </c>
      <c r="Q6" s="12">
        <f t="shared" si="3"/>
        <v>80</v>
      </c>
      <c r="R6" s="12">
        <f t="shared" si="3"/>
        <v>70</v>
      </c>
      <c r="S6" s="13">
        <v>100</v>
      </c>
      <c r="U6" s="4" t="s">
        <v>102</v>
      </c>
      <c r="V6" s="5">
        <v>60</v>
      </c>
      <c r="W6" s="5">
        <v>10</v>
      </c>
      <c r="X6" s="5"/>
      <c r="Z6" s="153" t="s">
        <v>171</v>
      </c>
      <c r="AA6" s="154">
        <v>1.1000000000000001</v>
      </c>
      <c r="AB6" s="154">
        <v>1.05</v>
      </c>
      <c r="AC6" s="154">
        <v>1</v>
      </c>
      <c r="AD6" s="154">
        <v>0.5</v>
      </c>
      <c r="AE6" s="154">
        <v>0.9</v>
      </c>
      <c r="AF6" s="154">
        <v>0.65</v>
      </c>
      <c r="AG6" s="154">
        <v>1.1000000000000001</v>
      </c>
      <c r="AH6" s="155">
        <v>4.5</v>
      </c>
    </row>
    <row r="7" spans="1:34">
      <c r="A7" s="28" t="s">
        <v>65</v>
      </c>
      <c r="B7" s="29">
        <f t="shared" si="0"/>
        <v>1768</v>
      </c>
      <c r="C7" s="30">
        <f t="shared" ref="C7:H8" si="4">ROUNDDOWN(ROUNDDOWN($I7*$B$27,0)*B$23,0)</f>
        <v>3536</v>
      </c>
      <c r="D7" s="30">
        <f t="shared" si="4"/>
        <v>3536</v>
      </c>
      <c r="E7" s="30">
        <f t="shared" si="4"/>
        <v>3536</v>
      </c>
      <c r="F7" s="31">
        <f t="shared" si="4"/>
        <v>884</v>
      </c>
      <c r="G7" s="31">
        <f t="shared" si="4"/>
        <v>442</v>
      </c>
      <c r="H7" s="31">
        <f t="shared" si="4"/>
        <v>442</v>
      </c>
      <c r="I7" s="32">
        <v>2</v>
      </c>
      <c r="K7" s="9" t="s">
        <v>65</v>
      </c>
      <c r="L7" s="10">
        <f t="shared" si="2"/>
        <v>240</v>
      </c>
      <c r="M7" s="11">
        <f t="shared" si="3"/>
        <v>336</v>
      </c>
      <c r="N7" s="11">
        <f t="shared" si="3"/>
        <v>384</v>
      </c>
      <c r="O7" s="11">
        <f t="shared" si="3"/>
        <v>432</v>
      </c>
      <c r="P7" s="12">
        <f t="shared" si="3"/>
        <v>216</v>
      </c>
      <c r="Q7" s="12">
        <f t="shared" si="3"/>
        <v>192</v>
      </c>
      <c r="R7" s="12">
        <f t="shared" si="3"/>
        <v>168</v>
      </c>
      <c r="S7" s="13">
        <v>240</v>
      </c>
      <c r="U7" s="4" t="s">
        <v>87</v>
      </c>
      <c r="V7" s="5">
        <v>90</v>
      </c>
      <c r="W7" s="5">
        <v>30</v>
      </c>
      <c r="X7" s="4" t="s">
        <v>30</v>
      </c>
      <c r="Z7" s="147" t="s">
        <v>172</v>
      </c>
      <c r="AA7" s="148">
        <v>1</v>
      </c>
      <c r="AB7" s="148">
        <v>0.9</v>
      </c>
      <c r="AC7" s="148">
        <v>1</v>
      </c>
      <c r="AD7" s="148">
        <v>0.3</v>
      </c>
      <c r="AE7" s="148">
        <v>0.5</v>
      </c>
      <c r="AF7" s="148">
        <v>0.4</v>
      </c>
      <c r="AG7" s="148">
        <v>1.1499999999999999</v>
      </c>
      <c r="AH7" s="149">
        <v>3</v>
      </c>
    </row>
    <row r="8" spans="1:34">
      <c r="A8" s="28" t="s">
        <v>129</v>
      </c>
      <c r="B8" s="29">
        <f t="shared" si="0"/>
        <v>0</v>
      </c>
      <c r="C8" s="30">
        <f t="shared" si="4"/>
        <v>0</v>
      </c>
      <c r="D8" s="30">
        <f t="shared" si="4"/>
        <v>0</v>
      </c>
      <c r="E8" s="30">
        <f t="shared" si="4"/>
        <v>0</v>
      </c>
      <c r="F8" s="31">
        <f t="shared" si="4"/>
        <v>0</v>
      </c>
      <c r="G8" s="31">
        <f t="shared" si="4"/>
        <v>0</v>
      </c>
      <c r="H8" s="31">
        <f t="shared" si="4"/>
        <v>0</v>
      </c>
      <c r="I8" s="32">
        <v>0</v>
      </c>
      <c r="K8" s="9" t="s">
        <v>129</v>
      </c>
      <c r="L8" s="10">
        <f t="shared" si="2"/>
        <v>240</v>
      </c>
      <c r="M8" s="11">
        <f t="shared" si="3"/>
        <v>336</v>
      </c>
      <c r="N8" s="11">
        <f t="shared" si="3"/>
        <v>384</v>
      </c>
      <c r="O8" s="11">
        <f t="shared" si="3"/>
        <v>432</v>
      </c>
      <c r="P8" s="12">
        <f t="shared" si="3"/>
        <v>216</v>
      </c>
      <c r="Q8" s="12">
        <f t="shared" si="3"/>
        <v>192</v>
      </c>
      <c r="R8" s="12">
        <f t="shared" si="3"/>
        <v>168</v>
      </c>
      <c r="S8" s="13">
        <v>240</v>
      </c>
      <c r="U8" s="4" t="s">
        <v>103</v>
      </c>
      <c r="V8" s="5">
        <v>60</v>
      </c>
      <c r="W8" s="6" t="s">
        <v>86</v>
      </c>
      <c r="X8" s="4" t="s">
        <v>30</v>
      </c>
      <c r="Z8" s="150" t="s">
        <v>173</v>
      </c>
      <c r="AA8" s="151">
        <v>1.05</v>
      </c>
      <c r="AB8" s="151">
        <v>0.95</v>
      </c>
      <c r="AC8" s="151">
        <v>1.1000000000000001</v>
      </c>
      <c r="AD8" s="151">
        <v>0.4</v>
      </c>
      <c r="AE8" s="151">
        <v>0.55000000000000004</v>
      </c>
      <c r="AF8" s="151">
        <v>0.45</v>
      </c>
      <c r="AG8" s="151">
        <v>1.25</v>
      </c>
      <c r="AH8" s="152">
        <v>4</v>
      </c>
    </row>
    <row r="9" spans="1:34">
      <c r="A9" s="28" t="s">
        <v>66</v>
      </c>
      <c r="B9" s="29">
        <f t="shared" si="0"/>
        <v>884</v>
      </c>
      <c r="C9" s="30">
        <f t="shared" ref="C9:H9" si="5">ROUNDDOWN(ROUNDDOWN($I9*$B$27,0)*B$23,0)</f>
        <v>1768</v>
      </c>
      <c r="D9" s="30">
        <f t="shared" si="5"/>
        <v>1768</v>
      </c>
      <c r="E9" s="30">
        <f t="shared" si="5"/>
        <v>1768</v>
      </c>
      <c r="F9" s="31">
        <f t="shared" si="5"/>
        <v>442</v>
      </c>
      <c r="G9" s="31">
        <f t="shared" si="5"/>
        <v>221</v>
      </c>
      <c r="H9" s="31">
        <f t="shared" si="5"/>
        <v>221</v>
      </c>
      <c r="I9" s="32">
        <v>1</v>
      </c>
      <c r="K9" s="9" t="s">
        <v>66</v>
      </c>
      <c r="L9" s="10">
        <f t="shared" si="2"/>
        <v>280</v>
      </c>
      <c r="M9" s="11">
        <f t="shared" si="3"/>
        <v>392</v>
      </c>
      <c r="N9" s="11">
        <f t="shared" si="3"/>
        <v>448</v>
      </c>
      <c r="O9" s="11">
        <f t="shared" si="3"/>
        <v>504</v>
      </c>
      <c r="P9" s="12">
        <f t="shared" si="3"/>
        <v>252</v>
      </c>
      <c r="Q9" s="12">
        <f t="shared" si="3"/>
        <v>224</v>
      </c>
      <c r="R9" s="12">
        <f t="shared" si="3"/>
        <v>196</v>
      </c>
      <c r="S9" s="13">
        <v>280</v>
      </c>
      <c r="U9" s="4" t="s">
        <v>105</v>
      </c>
      <c r="V9" s="5">
        <v>90</v>
      </c>
      <c r="W9" s="5">
        <v>30</v>
      </c>
      <c r="X9" s="4" t="s">
        <v>30</v>
      </c>
      <c r="Z9" s="147" t="s">
        <v>174</v>
      </c>
      <c r="AA9" s="148">
        <v>1.05</v>
      </c>
      <c r="AB9" s="148">
        <v>0.95</v>
      </c>
      <c r="AC9" s="148">
        <v>1</v>
      </c>
      <c r="AD9" s="148">
        <v>0.4</v>
      </c>
      <c r="AE9" s="148">
        <v>0.6</v>
      </c>
      <c r="AF9" s="148">
        <v>0.7</v>
      </c>
      <c r="AG9" s="148">
        <v>1.1000000000000001</v>
      </c>
      <c r="AH9" s="149">
        <v>4</v>
      </c>
    </row>
    <row r="10" spans="1:34">
      <c r="A10" s="28" t="s">
        <v>67</v>
      </c>
      <c r="B10" s="29">
        <f t="shared" si="0"/>
        <v>884</v>
      </c>
      <c r="C10" s="30">
        <f>$B$10</f>
        <v>884</v>
      </c>
      <c r="D10" s="30">
        <f t="shared" ref="D10:H10" si="6">$B$10</f>
        <v>884</v>
      </c>
      <c r="E10" s="30">
        <f t="shared" si="6"/>
        <v>884</v>
      </c>
      <c r="F10" s="31">
        <f t="shared" si="6"/>
        <v>884</v>
      </c>
      <c r="G10" s="31">
        <f t="shared" si="6"/>
        <v>884</v>
      </c>
      <c r="H10" s="31">
        <f t="shared" si="6"/>
        <v>884</v>
      </c>
      <c r="I10" s="32">
        <v>1</v>
      </c>
      <c r="K10" s="9" t="s">
        <v>67</v>
      </c>
      <c r="L10" s="10">
        <f t="shared" si="2"/>
        <v>260</v>
      </c>
      <c r="M10" s="11">
        <f t="shared" si="3"/>
        <v>364</v>
      </c>
      <c r="N10" s="11">
        <f t="shared" si="3"/>
        <v>416</v>
      </c>
      <c r="O10" s="11">
        <f t="shared" si="3"/>
        <v>468</v>
      </c>
      <c r="P10" s="12">
        <f t="shared" si="3"/>
        <v>234</v>
      </c>
      <c r="Q10" s="12">
        <f t="shared" si="3"/>
        <v>208</v>
      </c>
      <c r="R10" s="12">
        <f t="shared" si="3"/>
        <v>182</v>
      </c>
      <c r="S10" s="13">
        <v>260</v>
      </c>
      <c r="Z10" s="153" t="s">
        <v>175</v>
      </c>
      <c r="AA10" s="154">
        <v>1.1499999999999999</v>
      </c>
      <c r="AB10" s="154">
        <v>1</v>
      </c>
      <c r="AC10" s="154">
        <v>1.05</v>
      </c>
      <c r="AD10" s="154">
        <v>0.45</v>
      </c>
      <c r="AE10" s="154">
        <v>0.65</v>
      </c>
      <c r="AF10" s="154">
        <v>0.75</v>
      </c>
      <c r="AG10" s="154">
        <v>1.1499999999999999</v>
      </c>
      <c r="AH10" s="155">
        <v>5</v>
      </c>
    </row>
    <row r="11" spans="1:34">
      <c r="A11" s="28" t="s">
        <v>68</v>
      </c>
      <c r="B11" s="29">
        <f t="shared" si="0"/>
        <v>353</v>
      </c>
      <c r="C11" s="30">
        <f>ROUNDDOWN(ROUNDDOWN($I11*$B$27,0)*B$24,0)</f>
        <v>176</v>
      </c>
      <c r="D11" s="30">
        <f t="shared" ref="D11:H11" si="7">ROUNDDOWN(ROUNDDOWN($I11*$B$27,0)*C$24,0)</f>
        <v>88</v>
      </c>
      <c r="E11" s="30">
        <f t="shared" si="7"/>
        <v>88</v>
      </c>
      <c r="F11" s="31">
        <f t="shared" si="7"/>
        <v>353</v>
      </c>
      <c r="G11" s="31">
        <f t="shared" si="7"/>
        <v>353</v>
      </c>
      <c r="H11" s="31">
        <f t="shared" si="7"/>
        <v>353</v>
      </c>
      <c r="I11" s="32">
        <v>0.4</v>
      </c>
      <c r="K11" s="9" t="s">
        <v>68</v>
      </c>
      <c r="L11" s="10">
        <f t="shared" si="2"/>
        <v>180</v>
      </c>
      <c r="M11" s="11">
        <f t="shared" ref="M11:R15" si="8">ROUNDDOWN(ROUNDDOWN($S11*$L$28,0)*L$25,0)</f>
        <v>162</v>
      </c>
      <c r="N11" s="11">
        <f t="shared" si="8"/>
        <v>144</v>
      </c>
      <c r="O11" s="11">
        <f t="shared" si="8"/>
        <v>126</v>
      </c>
      <c r="P11" s="12">
        <f t="shared" si="8"/>
        <v>180</v>
      </c>
      <c r="Q11" s="12">
        <f t="shared" si="8"/>
        <v>180</v>
      </c>
      <c r="R11" s="12">
        <f t="shared" si="8"/>
        <v>180</v>
      </c>
      <c r="S11" s="13">
        <v>180</v>
      </c>
      <c r="Z11" s="147" t="s">
        <v>176</v>
      </c>
      <c r="AA11" s="148">
        <v>0.8</v>
      </c>
      <c r="AB11" s="148">
        <v>1</v>
      </c>
      <c r="AC11" s="148">
        <v>0.95</v>
      </c>
      <c r="AD11" s="148">
        <v>0.6</v>
      </c>
      <c r="AE11" s="148">
        <v>0.7</v>
      </c>
      <c r="AF11" s="148">
        <v>0.6</v>
      </c>
      <c r="AG11" s="148">
        <v>1.03</v>
      </c>
      <c r="AH11" s="149">
        <v>4</v>
      </c>
    </row>
    <row r="12" spans="1:34">
      <c r="A12" s="28" t="s">
        <v>69</v>
      </c>
      <c r="B12" s="29">
        <f t="shared" ref="B12:B14" si="9">ROUNDDOWN($I12*$B$27,0)</f>
        <v>707</v>
      </c>
      <c r="C12" s="30">
        <f t="shared" ref="C12:H12" si="10">ROUNDDOWN(ROUNDDOWN($I12*$B$27,0)*B$24,0)</f>
        <v>353</v>
      </c>
      <c r="D12" s="30">
        <f t="shared" si="10"/>
        <v>176</v>
      </c>
      <c r="E12" s="30">
        <f t="shared" si="10"/>
        <v>176</v>
      </c>
      <c r="F12" s="31">
        <f t="shared" si="10"/>
        <v>707</v>
      </c>
      <c r="G12" s="31">
        <f t="shared" si="10"/>
        <v>707</v>
      </c>
      <c r="H12" s="31">
        <f t="shared" si="10"/>
        <v>707</v>
      </c>
      <c r="I12" s="32">
        <v>0.8</v>
      </c>
      <c r="K12" s="9" t="s">
        <v>69</v>
      </c>
      <c r="L12" s="10">
        <f t="shared" si="2"/>
        <v>50</v>
      </c>
      <c r="M12" s="11">
        <f t="shared" si="8"/>
        <v>45</v>
      </c>
      <c r="N12" s="11">
        <f t="shared" si="8"/>
        <v>40</v>
      </c>
      <c r="O12" s="11">
        <f t="shared" si="8"/>
        <v>35</v>
      </c>
      <c r="P12" s="12">
        <f t="shared" si="8"/>
        <v>50</v>
      </c>
      <c r="Q12" s="12">
        <f t="shared" si="8"/>
        <v>50</v>
      </c>
      <c r="R12" s="12">
        <f t="shared" si="8"/>
        <v>50</v>
      </c>
      <c r="S12" s="13">
        <v>50</v>
      </c>
      <c r="Z12" s="153" t="s">
        <v>177</v>
      </c>
      <c r="AA12" s="154">
        <v>0.85</v>
      </c>
      <c r="AB12" s="154">
        <v>1.1000000000000001</v>
      </c>
      <c r="AC12" s="154">
        <v>1</v>
      </c>
      <c r="AD12" s="154">
        <v>0.65</v>
      </c>
      <c r="AE12" s="154">
        <v>0.75</v>
      </c>
      <c r="AF12" s="154">
        <v>0.65</v>
      </c>
      <c r="AG12" s="154">
        <v>1.08</v>
      </c>
      <c r="AH12" s="155">
        <v>5</v>
      </c>
    </row>
    <row r="13" spans="1:34">
      <c r="A13" s="28" t="s">
        <v>70</v>
      </c>
      <c r="B13" s="29">
        <f t="shared" si="9"/>
        <v>1060</v>
      </c>
      <c r="C13" s="30">
        <f t="shared" ref="C13:H13" si="11">ROUNDDOWN(ROUNDDOWN($I13*$B$27,0)*B$24,0)</f>
        <v>530</v>
      </c>
      <c r="D13" s="30">
        <f t="shared" si="11"/>
        <v>265</v>
      </c>
      <c r="E13" s="30">
        <f t="shared" si="11"/>
        <v>265</v>
      </c>
      <c r="F13" s="31">
        <f t="shared" si="11"/>
        <v>1060</v>
      </c>
      <c r="G13" s="31">
        <f t="shared" si="11"/>
        <v>1060</v>
      </c>
      <c r="H13" s="31">
        <f t="shared" si="11"/>
        <v>1060</v>
      </c>
      <c r="I13" s="32">
        <v>1.2</v>
      </c>
      <c r="K13" s="9" t="s">
        <v>70</v>
      </c>
      <c r="L13" s="10">
        <f t="shared" si="2"/>
        <v>240</v>
      </c>
      <c r="M13" s="11">
        <f t="shared" si="8"/>
        <v>216</v>
      </c>
      <c r="N13" s="11">
        <f t="shared" si="8"/>
        <v>192</v>
      </c>
      <c r="O13" s="11">
        <f t="shared" si="8"/>
        <v>168</v>
      </c>
      <c r="P13" s="12">
        <f t="shared" si="8"/>
        <v>240</v>
      </c>
      <c r="Q13" s="12">
        <f t="shared" si="8"/>
        <v>240</v>
      </c>
      <c r="R13" s="12">
        <f t="shared" si="8"/>
        <v>240</v>
      </c>
      <c r="S13" s="13">
        <v>240</v>
      </c>
      <c r="Z13" s="147" t="s">
        <v>178</v>
      </c>
      <c r="AA13" s="148">
        <v>0.85</v>
      </c>
      <c r="AB13" s="148">
        <v>1.05</v>
      </c>
      <c r="AC13" s="148">
        <v>0.95</v>
      </c>
      <c r="AD13" s="148">
        <v>0.8</v>
      </c>
      <c r="AE13" s="148">
        <v>0.75</v>
      </c>
      <c r="AF13" s="148">
        <v>0.8</v>
      </c>
      <c r="AG13" s="148">
        <v>1</v>
      </c>
      <c r="AH13" s="149">
        <v>7</v>
      </c>
    </row>
    <row r="14" spans="1:34">
      <c r="A14" s="28" t="s">
        <v>71</v>
      </c>
      <c r="B14" s="29">
        <f t="shared" si="9"/>
        <v>884</v>
      </c>
      <c r="C14" s="30">
        <f t="shared" ref="C14:H14" si="12">ROUNDDOWN(ROUNDDOWN($I14*$B$27,0)*B$24,0)</f>
        <v>442</v>
      </c>
      <c r="D14" s="30">
        <f t="shared" si="12"/>
        <v>221</v>
      </c>
      <c r="E14" s="30">
        <f t="shared" si="12"/>
        <v>221</v>
      </c>
      <c r="F14" s="31">
        <f t="shared" si="12"/>
        <v>884</v>
      </c>
      <c r="G14" s="31">
        <f t="shared" si="12"/>
        <v>884</v>
      </c>
      <c r="H14" s="31">
        <f t="shared" si="12"/>
        <v>884</v>
      </c>
      <c r="I14" s="32">
        <v>1</v>
      </c>
      <c r="K14" s="9" t="s">
        <v>71</v>
      </c>
      <c r="L14" s="10">
        <f t="shared" si="2"/>
        <v>280</v>
      </c>
      <c r="M14" s="11">
        <f t="shared" si="8"/>
        <v>252</v>
      </c>
      <c r="N14" s="11">
        <f t="shared" si="8"/>
        <v>224</v>
      </c>
      <c r="O14" s="11">
        <f t="shared" si="8"/>
        <v>196</v>
      </c>
      <c r="P14" s="12">
        <f t="shared" si="8"/>
        <v>280</v>
      </c>
      <c r="Q14" s="12">
        <f t="shared" si="8"/>
        <v>280</v>
      </c>
      <c r="R14" s="12">
        <f t="shared" si="8"/>
        <v>280</v>
      </c>
      <c r="S14" s="13">
        <v>280</v>
      </c>
      <c r="Z14" s="153" t="s">
        <v>179</v>
      </c>
      <c r="AA14" s="154">
        <v>0.9</v>
      </c>
      <c r="AB14" s="154">
        <v>1.1499999999999999</v>
      </c>
      <c r="AC14" s="154">
        <v>1</v>
      </c>
      <c r="AD14" s="154">
        <v>0.85</v>
      </c>
      <c r="AE14" s="154">
        <v>0.8</v>
      </c>
      <c r="AF14" s="154">
        <v>0.85</v>
      </c>
      <c r="AG14" s="154">
        <v>1.05</v>
      </c>
      <c r="AH14" s="155">
        <v>8</v>
      </c>
    </row>
    <row r="15" spans="1:34">
      <c r="A15" s="28" t="s">
        <v>72</v>
      </c>
      <c r="B15" s="29">
        <f>ROUNDDOWN($I15*$B$27,0)</f>
        <v>1768</v>
      </c>
      <c r="C15" s="30">
        <f t="shared" ref="C15:H15" si="13">ROUNDDOWN(ROUNDDOWN($I15*$B$27,0)*B$24,0)</f>
        <v>884</v>
      </c>
      <c r="D15" s="30">
        <f t="shared" si="13"/>
        <v>442</v>
      </c>
      <c r="E15" s="30">
        <f t="shared" si="13"/>
        <v>442</v>
      </c>
      <c r="F15" s="31">
        <f t="shared" si="13"/>
        <v>1768</v>
      </c>
      <c r="G15" s="31">
        <f t="shared" si="13"/>
        <v>1768</v>
      </c>
      <c r="H15" s="31">
        <f t="shared" si="13"/>
        <v>1768</v>
      </c>
      <c r="I15" s="32">
        <v>2</v>
      </c>
      <c r="K15" s="9" t="s">
        <v>72</v>
      </c>
      <c r="L15" s="10">
        <f t="shared" si="2"/>
        <v>100</v>
      </c>
      <c r="M15" s="11">
        <f t="shared" si="8"/>
        <v>90</v>
      </c>
      <c r="N15" s="11">
        <f t="shared" si="8"/>
        <v>80</v>
      </c>
      <c r="O15" s="11">
        <f t="shared" si="8"/>
        <v>70</v>
      </c>
      <c r="P15" s="12">
        <f t="shared" si="8"/>
        <v>100</v>
      </c>
      <c r="Q15" s="12">
        <f t="shared" si="8"/>
        <v>100</v>
      </c>
      <c r="R15" s="12">
        <f t="shared" si="8"/>
        <v>100</v>
      </c>
      <c r="S15" s="13">
        <v>100</v>
      </c>
      <c r="Z15" s="147" t="s">
        <v>180</v>
      </c>
      <c r="AA15" s="148">
        <v>0.5</v>
      </c>
      <c r="AB15" s="148">
        <v>1</v>
      </c>
      <c r="AC15" s="148">
        <v>0.95</v>
      </c>
      <c r="AD15" s="148">
        <v>1</v>
      </c>
      <c r="AE15" s="148">
        <v>1.05</v>
      </c>
      <c r="AF15" s="148">
        <v>1.1000000000000001</v>
      </c>
      <c r="AG15" s="148">
        <v>1</v>
      </c>
      <c r="AH15" s="149">
        <v>11.5</v>
      </c>
    </row>
    <row r="16" spans="1:34">
      <c r="A16" s="28" t="s">
        <v>73</v>
      </c>
      <c r="B16" s="29">
        <f>ROUNDDOWN($I16*$B$27,0)</f>
        <v>707</v>
      </c>
      <c r="C16" s="30">
        <f>ROUNDDOWN(ROUNDDOWN($I16*$B$27,0)*B$25,0)</f>
        <v>707</v>
      </c>
      <c r="D16" s="30">
        <f t="shared" ref="D16:H16" si="14">ROUNDDOWN(ROUNDDOWN($I16*$B$27,0)*C$25,0)</f>
        <v>707</v>
      </c>
      <c r="E16" s="30">
        <f t="shared" si="14"/>
        <v>707</v>
      </c>
      <c r="F16" s="31">
        <f t="shared" si="14"/>
        <v>707</v>
      </c>
      <c r="G16" s="31">
        <f t="shared" si="14"/>
        <v>707</v>
      </c>
      <c r="H16" s="31">
        <f t="shared" si="14"/>
        <v>707</v>
      </c>
      <c r="I16" s="32">
        <v>0.8</v>
      </c>
      <c r="K16" s="9"/>
      <c r="L16" s="16" t="s">
        <v>44</v>
      </c>
      <c r="M16" s="16" t="s">
        <v>37</v>
      </c>
      <c r="N16" s="16" t="s">
        <v>38</v>
      </c>
      <c r="O16" s="16" t="s">
        <v>39</v>
      </c>
      <c r="P16" s="16" t="s">
        <v>40</v>
      </c>
      <c r="Q16" s="16" t="s">
        <v>42</v>
      </c>
      <c r="R16" s="16" t="s">
        <v>45</v>
      </c>
      <c r="S16" s="17"/>
      <c r="Z16" s="156" t="s">
        <v>181</v>
      </c>
      <c r="AA16" s="157">
        <v>0.55000000000000004</v>
      </c>
      <c r="AB16" s="157">
        <v>1.05</v>
      </c>
      <c r="AC16" s="157">
        <v>1</v>
      </c>
      <c r="AD16" s="157">
        <v>1.05</v>
      </c>
      <c r="AE16" s="157">
        <v>1.1499999999999999</v>
      </c>
      <c r="AF16" s="157">
        <v>1.2</v>
      </c>
      <c r="AG16" s="157">
        <v>1.05</v>
      </c>
      <c r="AH16" s="158">
        <v>12</v>
      </c>
    </row>
    <row r="17" spans="1:34">
      <c r="A17" s="28" t="s">
        <v>74</v>
      </c>
      <c r="B17" s="29">
        <f t="shared" ref="B17:B18" si="15">ROUNDDOWN($I17*$B$27,0)</f>
        <v>1060</v>
      </c>
      <c r="C17" s="30">
        <f t="shared" ref="C17:H17" si="16">ROUNDDOWN(ROUNDDOWN($I17*$B$27,0)*B$25,0)</f>
        <v>1060</v>
      </c>
      <c r="D17" s="30">
        <f t="shared" si="16"/>
        <v>1060</v>
      </c>
      <c r="E17" s="30">
        <f t="shared" si="16"/>
        <v>1060</v>
      </c>
      <c r="F17" s="31">
        <f t="shared" si="16"/>
        <v>1060</v>
      </c>
      <c r="G17" s="31">
        <f t="shared" si="16"/>
        <v>1060</v>
      </c>
      <c r="H17" s="31">
        <f t="shared" si="16"/>
        <v>1060</v>
      </c>
      <c r="I17" s="32">
        <v>1.2</v>
      </c>
      <c r="K17" s="9" t="s">
        <v>73</v>
      </c>
      <c r="L17" s="10">
        <f>$R62</f>
        <v>240</v>
      </c>
      <c r="M17" s="10">
        <f t="shared" ref="M17:R17" si="17">$R62</f>
        <v>240</v>
      </c>
      <c r="N17" s="10">
        <f t="shared" si="17"/>
        <v>240</v>
      </c>
      <c r="O17" s="10">
        <f t="shared" si="17"/>
        <v>240</v>
      </c>
      <c r="P17" s="10">
        <f t="shared" si="17"/>
        <v>240</v>
      </c>
      <c r="Q17" s="10">
        <f t="shared" si="17"/>
        <v>240</v>
      </c>
      <c r="R17" s="10">
        <f t="shared" si="17"/>
        <v>240</v>
      </c>
      <c r="S17" s="13">
        <v>30</v>
      </c>
      <c r="Z17" s="147" t="s">
        <v>182</v>
      </c>
      <c r="AA17" s="148">
        <v>0.4</v>
      </c>
      <c r="AB17" s="148">
        <v>0.95</v>
      </c>
      <c r="AC17" s="148">
        <v>0.95</v>
      </c>
      <c r="AD17" s="148">
        <v>1.05</v>
      </c>
      <c r="AE17" s="148">
        <v>0.7</v>
      </c>
      <c r="AF17" s="148">
        <v>1.1499999999999999</v>
      </c>
      <c r="AG17" s="148">
        <v>1</v>
      </c>
      <c r="AH17" s="149">
        <v>12</v>
      </c>
    </row>
    <row r="18" spans="1:34">
      <c r="A18" s="28" t="s">
        <v>75</v>
      </c>
      <c r="B18" s="29">
        <f t="shared" si="15"/>
        <v>1414</v>
      </c>
      <c r="C18" s="30">
        <f t="shared" ref="C18:H18" si="18">ROUNDDOWN(ROUNDDOWN($I18*$B$27,0)*B$25,0)</f>
        <v>1414</v>
      </c>
      <c r="D18" s="30">
        <f t="shared" si="18"/>
        <v>1414</v>
      </c>
      <c r="E18" s="30">
        <f t="shared" si="18"/>
        <v>1414</v>
      </c>
      <c r="F18" s="31">
        <f t="shared" si="18"/>
        <v>1414</v>
      </c>
      <c r="G18" s="31">
        <f t="shared" si="18"/>
        <v>1414</v>
      </c>
      <c r="H18" s="31">
        <f t="shared" si="18"/>
        <v>1414</v>
      </c>
      <c r="I18" s="32">
        <v>1.6</v>
      </c>
      <c r="K18" s="9" t="s">
        <v>74</v>
      </c>
      <c r="L18" s="10">
        <f t="shared" ref="L18" si="19">$R63</f>
        <v>295</v>
      </c>
      <c r="M18" s="10">
        <f t="shared" ref="M18:R18" si="20">$R63</f>
        <v>295</v>
      </c>
      <c r="N18" s="10">
        <f t="shared" si="20"/>
        <v>295</v>
      </c>
      <c r="O18" s="10">
        <f t="shared" si="20"/>
        <v>295</v>
      </c>
      <c r="P18" s="10">
        <f t="shared" si="20"/>
        <v>295</v>
      </c>
      <c r="Q18" s="10">
        <f t="shared" si="20"/>
        <v>295</v>
      </c>
      <c r="R18" s="10">
        <f t="shared" si="20"/>
        <v>295</v>
      </c>
      <c r="S18" s="13">
        <v>50</v>
      </c>
      <c r="Z18" s="153" t="s">
        <v>183</v>
      </c>
      <c r="AA18" s="154">
        <v>0.45</v>
      </c>
      <c r="AB18" s="154">
        <v>1</v>
      </c>
      <c r="AC18" s="154">
        <v>1</v>
      </c>
      <c r="AD18" s="154">
        <v>1.1499999999999999</v>
      </c>
      <c r="AE18" s="154">
        <v>0.75</v>
      </c>
      <c r="AF18" s="154">
        <v>1.2</v>
      </c>
      <c r="AG18" s="154">
        <v>1.05</v>
      </c>
      <c r="AH18" s="155">
        <v>12.5</v>
      </c>
    </row>
    <row r="19" spans="1:34">
      <c r="A19" s="290"/>
      <c r="B19" s="274"/>
      <c r="C19" s="274"/>
      <c r="D19" s="274"/>
      <c r="E19" s="274"/>
      <c r="F19" s="274"/>
      <c r="G19" s="274"/>
      <c r="H19" s="274"/>
      <c r="I19" s="291"/>
      <c r="K19" s="9" t="s">
        <v>75</v>
      </c>
      <c r="L19" s="10">
        <f>$R64</f>
        <v>340</v>
      </c>
      <c r="M19" s="10">
        <f t="shared" ref="M19:R19" si="21">$R64</f>
        <v>340</v>
      </c>
      <c r="N19" s="10">
        <f t="shared" si="21"/>
        <v>340</v>
      </c>
      <c r="O19" s="10">
        <f t="shared" si="21"/>
        <v>340</v>
      </c>
      <c r="P19" s="10">
        <f t="shared" si="21"/>
        <v>340</v>
      </c>
      <c r="Q19" s="10">
        <f t="shared" si="21"/>
        <v>340</v>
      </c>
      <c r="R19" s="10">
        <f t="shared" si="21"/>
        <v>340</v>
      </c>
      <c r="S19" s="13">
        <v>60</v>
      </c>
      <c r="Z19" s="147" t="s">
        <v>184</v>
      </c>
      <c r="AA19" s="148">
        <v>0.85</v>
      </c>
      <c r="AB19" s="148">
        <v>0.95</v>
      </c>
      <c r="AC19" s="148">
        <v>0.95</v>
      </c>
      <c r="AD19" s="148">
        <v>1.05</v>
      </c>
      <c r="AE19" s="148">
        <v>0.75</v>
      </c>
      <c r="AF19" s="148">
        <v>1</v>
      </c>
      <c r="AG19" s="148">
        <v>1</v>
      </c>
      <c r="AH19" s="149">
        <v>11</v>
      </c>
    </row>
    <row r="20" spans="1:34">
      <c r="A20" s="251" t="s">
        <v>23</v>
      </c>
      <c r="B20" s="289" t="s">
        <v>27</v>
      </c>
      <c r="C20" s="289"/>
      <c r="D20" s="289"/>
      <c r="E20" s="289"/>
      <c r="F20" s="289"/>
      <c r="G20" s="289"/>
      <c r="H20" s="273"/>
      <c r="I20" s="291"/>
      <c r="K20" s="267"/>
      <c r="L20" s="268"/>
      <c r="M20" s="268"/>
      <c r="N20" s="268"/>
      <c r="O20" s="268"/>
      <c r="P20" s="268"/>
      <c r="Q20" s="268"/>
      <c r="R20" s="268"/>
      <c r="S20" s="269"/>
      <c r="Z20" s="153" t="s">
        <v>185</v>
      </c>
      <c r="AA20" s="154">
        <v>0.9</v>
      </c>
      <c r="AB20" s="154">
        <v>1</v>
      </c>
      <c r="AC20" s="154">
        <v>1</v>
      </c>
      <c r="AD20" s="154">
        <v>1.1499999999999999</v>
      </c>
      <c r="AE20" s="154">
        <v>0.8</v>
      </c>
      <c r="AF20" s="154">
        <v>1.05</v>
      </c>
      <c r="AG20" s="154">
        <v>1.05</v>
      </c>
      <c r="AH20" s="155">
        <v>11</v>
      </c>
    </row>
    <row r="21" spans="1:34">
      <c r="A21" s="251"/>
      <c r="B21" s="294" t="s">
        <v>62</v>
      </c>
      <c r="C21" s="294"/>
      <c r="D21" s="294"/>
      <c r="E21" s="295" t="s">
        <v>56</v>
      </c>
      <c r="F21" s="295"/>
      <c r="G21" s="295"/>
      <c r="H21" s="273"/>
      <c r="I21" s="291"/>
      <c r="K21" s="285" t="s">
        <v>23</v>
      </c>
      <c r="L21" s="265" t="s">
        <v>35</v>
      </c>
      <c r="M21" s="265"/>
      <c r="N21" s="265"/>
      <c r="O21" s="265"/>
      <c r="P21" s="265"/>
      <c r="Q21" s="265"/>
      <c r="R21" s="270"/>
      <c r="S21" s="269"/>
      <c r="Z21" s="156" t="s">
        <v>186</v>
      </c>
      <c r="AA21" s="157">
        <v>0.9</v>
      </c>
      <c r="AB21" s="157">
        <v>1</v>
      </c>
      <c r="AC21" s="157">
        <v>1</v>
      </c>
      <c r="AD21" s="157">
        <v>1.05</v>
      </c>
      <c r="AE21" s="157">
        <v>1.1499999999999999</v>
      </c>
      <c r="AF21" s="157">
        <v>1.2</v>
      </c>
      <c r="AG21" s="157">
        <v>1.05</v>
      </c>
      <c r="AH21" s="158">
        <v>11.5</v>
      </c>
    </row>
    <row r="22" spans="1:34">
      <c r="A22" s="251"/>
      <c r="B22" s="33" t="s">
        <v>57</v>
      </c>
      <c r="C22" s="33" t="s">
        <v>58</v>
      </c>
      <c r="D22" s="33" t="s">
        <v>59</v>
      </c>
      <c r="E22" s="34" t="s">
        <v>57</v>
      </c>
      <c r="F22" s="34" t="s">
        <v>58</v>
      </c>
      <c r="G22" s="34" t="s">
        <v>59</v>
      </c>
      <c r="H22" s="273"/>
      <c r="I22" s="291"/>
      <c r="K22" s="285"/>
      <c r="L22" s="266" t="s">
        <v>62</v>
      </c>
      <c r="M22" s="266"/>
      <c r="N22" s="266"/>
      <c r="O22" s="286" t="s">
        <v>56</v>
      </c>
      <c r="P22" s="286"/>
      <c r="Q22" s="286"/>
      <c r="R22" s="270"/>
      <c r="S22" s="269"/>
      <c r="Z22" s="150" t="s">
        <v>187</v>
      </c>
      <c r="AA22" s="151" t="s">
        <v>188</v>
      </c>
      <c r="AB22" s="151" t="s">
        <v>188</v>
      </c>
      <c r="AC22" s="151" t="s">
        <v>188</v>
      </c>
      <c r="AD22" s="151" t="s">
        <v>188</v>
      </c>
      <c r="AE22" s="151" t="s">
        <v>188</v>
      </c>
      <c r="AF22" s="151" t="s">
        <v>188</v>
      </c>
      <c r="AG22" s="151" t="s">
        <v>188</v>
      </c>
      <c r="AH22" s="152" t="s">
        <v>189</v>
      </c>
    </row>
    <row r="23" spans="1:34">
      <c r="A23" s="28" t="s">
        <v>24</v>
      </c>
      <c r="B23" s="30">
        <v>2</v>
      </c>
      <c r="C23" s="30">
        <v>2</v>
      </c>
      <c r="D23" s="30">
        <v>2</v>
      </c>
      <c r="E23" s="31">
        <v>0.5</v>
      </c>
      <c r="F23" s="31">
        <v>0.25</v>
      </c>
      <c r="G23" s="31">
        <v>0.25</v>
      </c>
      <c r="H23" s="273"/>
      <c r="I23" s="291"/>
      <c r="K23" s="285"/>
      <c r="L23" s="7" t="s">
        <v>57</v>
      </c>
      <c r="M23" s="7" t="s">
        <v>58</v>
      </c>
      <c r="N23" s="7" t="s">
        <v>59</v>
      </c>
      <c r="O23" s="8" t="s">
        <v>57</v>
      </c>
      <c r="P23" s="8" t="s">
        <v>58</v>
      </c>
      <c r="Q23" s="8" t="s">
        <v>59</v>
      </c>
      <c r="R23" s="270"/>
      <c r="S23" s="269"/>
      <c r="Z23" s="153" t="s">
        <v>190</v>
      </c>
      <c r="AA23" s="154" t="s">
        <v>188</v>
      </c>
      <c r="AB23" s="154" t="s">
        <v>188</v>
      </c>
      <c r="AC23" s="154" t="s">
        <v>188</v>
      </c>
      <c r="AD23" s="154" t="s">
        <v>188</v>
      </c>
      <c r="AE23" s="154" t="s">
        <v>188</v>
      </c>
      <c r="AF23" s="154" t="s">
        <v>188</v>
      </c>
      <c r="AG23" s="154" t="s">
        <v>188</v>
      </c>
      <c r="AH23" s="155" t="s">
        <v>189</v>
      </c>
    </row>
    <row r="24" spans="1:34" ht="15" thickBot="1">
      <c r="A24" s="28" t="s">
        <v>25</v>
      </c>
      <c r="B24" s="30">
        <v>0.5</v>
      </c>
      <c r="C24" s="30">
        <v>0.25</v>
      </c>
      <c r="D24" s="30">
        <v>0.25</v>
      </c>
      <c r="E24" s="31">
        <v>1</v>
      </c>
      <c r="F24" s="31">
        <v>1</v>
      </c>
      <c r="G24" s="31">
        <v>1</v>
      </c>
      <c r="H24" s="273"/>
      <c r="I24" s="291"/>
      <c r="K24" s="9" t="s">
        <v>24</v>
      </c>
      <c r="L24" s="11">
        <v>1.4</v>
      </c>
      <c r="M24" s="11">
        <v>1.6</v>
      </c>
      <c r="N24" s="11">
        <v>1.8</v>
      </c>
      <c r="O24" s="12">
        <v>0.9</v>
      </c>
      <c r="P24" s="12">
        <v>0.8</v>
      </c>
      <c r="Q24" s="12">
        <v>0.7</v>
      </c>
      <c r="R24" s="270"/>
      <c r="S24" s="269"/>
      <c r="Z24" s="159" t="s">
        <v>191</v>
      </c>
      <c r="AA24" s="160" t="s">
        <v>188</v>
      </c>
      <c r="AB24" s="160" t="s">
        <v>188</v>
      </c>
      <c r="AC24" s="160" t="s">
        <v>188</v>
      </c>
      <c r="AD24" s="160" t="s">
        <v>188</v>
      </c>
      <c r="AE24" s="160" t="s">
        <v>188</v>
      </c>
      <c r="AF24" s="160" t="s">
        <v>188</v>
      </c>
      <c r="AG24" s="160" t="s">
        <v>188</v>
      </c>
      <c r="AH24" s="161" t="s">
        <v>189</v>
      </c>
    </row>
    <row r="25" spans="1:34">
      <c r="A25" s="28" t="s">
        <v>26</v>
      </c>
      <c r="B25" s="30">
        <v>1</v>
      </c>
      <c r="C25" s="30">
        <v>1</v>
      </c>
      <c r="D25" s="30">
        <v>1</v>
      </c>
      <c r="E25" s="31">
        <v>1</v>
      </c>
      <c r="F25" s="31">
        <v>1</v>
      </c>
      <c r="G25" s="31">
        <v>1</v>
      </c>
      <c r="H25" s="273"/>
      <c r="I25" s="291"/>
      <c r="K25" s="9" t="s">
        <v>25</v>
      </c>
      <c r="L25" s="11">
        <v>0.9</v>
      </c>
      <c r="M25" s="11">
        <v>0.8</v>
      </c>
      <c r="N25" s="11">
        <v>0.7</v>
      </c>
      <c r="O25" s="12">
        <v>1</v>
      </c>
      <c r="P25" s="12">
        <v>1</v>
      </c>
      <c r="Q25" s="12">
        <v>1</v>
      </c>
      <c r="R25" s="270"/>
      <c r="S25" s="269"/>
    </row>
    <row r="26" spans="1:34">
      <c r="A26" s="290"/>
      <c r="B26" s="274"/>
      <c r="C26" s="274"/>
      <c r="D26" s="274"/>
      <c r="E26" s="274"/>
      <c r="F26" s="274"/>
      <c r="G26" s="275"/>
      <c r="H26" s="273"/>
      <c r="I26" s="291"/>
      <c r="K26" s="9" t="s">
        <v>26</v>
      </c>
      <c r="L26" s="11">
        <v>1</v>
      </c>
      <c r="M26" s="11">
        <v>1</v>
      </c>
      <c r="N26" s="11">
        <v>1</v>
      </c>
      <c r="O26" s="12">
        <v>1</v>
      </c>
      <c r="P26" s="12">
        <v>1</v>
      </c>
      <c r="Q26" s="12">
        <v>1</v>
      </c>
      <c r="R26" s="270"/>
      <c r="S26" s="269"/>
      <c r="Z26" s="162" t="s">
        <v>193</v>
      </c>
      <c r="AA26" s="162"/>
      <c r="AB26" s="162"/>
      <c r="AC26" s="162"/>
      <c r="AD26" s="162"/>
      <c r="AE26" s="162"/>
      <c r="AF26" s="162"/>
      <c r="AG26" s="162"/>
    </row>
    <row r="27" spans="1:34">
      <c r="A27" s="251" t="s">
        <v>29</v>
      </c>
      <c r="B27" s="35">
        <v>884</v>
      </c>
      <c r="C27" s="35" t="s">
        <v>31</v>
      </c>
      <c r="D27" s="273"/>
      <c r="E27" s="274"/>
      <c r="F27" s="274"/>
      <c r="G27" s="275"/>
      <c r="H27" s="273"/>
      <c r="I27" s="291"/>
      <c r="K27" s="267"/>
      <c r="L27" s="268"/>
      <c r="M27" s="268"/>
      <c r="N27" s="268"/>
      <c r="O27" s="268"/>
      <c r="P27" s="268"/>
      <c r="Q27" s="292"/>
      <c r="R27" s="270"/>
      <c r="S27" s="269"/>
      <c r="Z27" s="245" t="s">
        <v>194</v>
      </c>
      <c r="AA27" s="246"/>
      <c r="AB27" s="145" t="s">
        <v>160</v>
      </c>
      <c r="AC27" s="145" t="s">
        <v>161</v>
      </c>
      <c r="AD27" s="145" t="s">
        <v>162</v>
      </c>
      <c r="AE27" s="145" t="s">
        <v>163</v>
      </c>
      <c r="AF27" s="145" t="s">
        <v>164</v>
      </c>
      <c r="AG27" s="145" t="s">
        <v>165</v>
      </c>
    </row>
    <row r="28" spans="1:34" ht="15" thickBot="1">
      <c r="A28" s="252"/>
      <c r="B28" s="36">
        <v>266</v>
      </c>
      <c r="C28" s="36" t="s">
        <v>76</v>
      </c>
      <c r="D28" s="276"/>
      <c r="E28" s="277"/>
      <c r="F28" s="277"/>
      <c r="G28" s="278"/>
      <c r="H28" s="276"/>
      <c r="I28" s="296"/>
      <c r="K28" s="271" t="s">
        <v>93</v>
      </c>
      <c r="L28" s="14">
        <v>1</v>
      </c>
      <c r="M28" s="14" t="s">
        <v>31</v>
      </c>
      <c r="N28" s="265" t="s">
        <v>36</v>
      </c>
      <c r="O28" s="14">
        <v>1.3</v>
      </c>
      <c r="P28" s="270"/>
      <c r="Q28" s="292"/>
      <c r="R28" s="270"/>
      <c r="S28" s="269"/>
      <c r="Z28" s="240" t="s">
        <v>195</v>
      </c>
      <c r="AA28" s="163" t="s">
        <v>196</v>
      </c>
      <c r="AB28" s="164">
        <v>1</v>
      </c>
      <c r="AC28" s="165">
        <v>-1</v>
      </c>
      <c r="AD28" s="166">
        <v>0</v>
      </c>
      <c r="AE28" s="164">
        <v>1</v>
      </c>
      <c r="AF28" s="167">
        <v>-2</v>
      </c>
      <c r="AG28" s="164">
        <v>1</v>
      </c>
    </row>
    <row r="29" spans="1:34" ht="15" thickBot="1">
      <c r="K29" s="272"/>
      <c r="L29" s="15">
        <v>1</v>
      </c>
      <c r="M29" s="15" t="s">
        <v>76</v>
      </c>
      <c r="N29" s="287"/>
      <c r="O29" s="15">
        <v>1.3</v>
      </c>
      <c r="P29" s="279"/>
      <c r="Q29" s="293"/>
      <c r="R29" s="279"/>
      <c r="S29" s="281"/>
      <c r="Z29" s="241"/>
      <c r="AA29" s="163" t="s">
        <v>197</v>
      </c>
      <c r="AB29" s="168">
        <v>3</v>
      </c>
      <c r="AC29" s="166">
        <v>0</v>
      </c>
      <c r="AD29" s="169">
        <v>2</v>
      </c>
      <c r="AE29" s="167">
        <v>-2</v>
      </c>
      <c r="AF29" s="166">
        <v>0</v>
      </c>
      <c r="AG29" s="170">
        <v>-3</v>
      </c>
    </row>
    <row r="30" spans="1:34" ht="15" thickBot="1">
      <c r="Z30" s="240" t="s">
        <v>198</v>
      </c>
      <c r="AA30" s="163" t="s">
        <v>199</v>
      </c>
      <c r="AB30" s="165">
        <v>-1</v>
      </c>
      <c r="AC30" s="168">
        <v>3</v>
      </c>
      <c r="AD30" s="167">
        <v>-2</v>
      </c>
      <c r="AE30" s="169">
        <v>2</v>
      </c>
      <c r="AF30" s="170">
        <v>-3</v>
      </c>
      <c r="AG30" s="164">
        <v>1</v>
      </c>
    </row>
    <row r="31" spans="1:34">
      <c r="A31" s="282" t="s">
        <v>46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4"/>
      <c r="M31" s="248" t="s">
        <v>78</v>
      </c>
      <c r="N31" s="249"/>
      <c r="O31" s="249"/>
      <c r="P31" s="249"/>
      <c r="Q31" s="249"/>
      <c r="R31" s="249"/>
      <c r="S31" s="249"/>
      <c r="T31" s="250"/>
      <c r="Z31" s="241"/>
      <c r="AA31" s="163" t="s">
        <v>200</v>
      </c>
      <c r="AB31" s="166">
        <v>0</v>
      </c>
      <c r="AC31" s="166">
        <v>0</v>
      </c>
      <c r="AD31" s="165">
        <v>-1</v>
      </c>
      <c r="AE31" s="168">
        <v>3</v>
      </c>
      <c r="AF31" s="166">
        <v>0</v>
      </c>
      <c r="AG31" s="167">
        <v>-2</v>
      </c>
    </row>
    <row r="32" spans="1:34">
      <c r="A32" s="285" t="s">
        <v>60</v>
      </c>
      <c r="B32" s="265" t="s">
        <v>61</v>
      </c>
      <c r="C32" s="266" t="s">
        <v>62</v>
      </c>
      <c r="D32" s="266"/>
      <c r="E32" s="266"/>
      <c r="F32" s="286" t="s">
        <v>56</v>
      </c>
      <c r="G32" s="286"/>
      <c r="H32" s="286"/>
      <c r="I32" s="265" t="s">
        <v>47</v>
      </c>
      <c r="J32" s="265" t="s">
        <v>54</v>
      </c>
      <c r="K32" s="288" t="s">
        <v>77</v>
      </c>
      <c r="M32" s="285" t="s">
        <v>60</v>
      </c>
      <c r="N32" s="265" t="s">
        <v>61</v>
      </c>
      <c r="O32" s="266" t="s">
        <v>62</v>
      </c>
      <c r="P32" s="266"/>
      <c r="Q32" s="266"/>
      <c r="R32" s="262" t="s">
        <v>56</v>
      </c>
      <c r="S32" s="263"/>
      <c r="T32" s="264"/>
      <c r="Z32" s="240" t="s">
        <v>201</v>
      </c>
      <c r="AA32" s="163" t="s">
        <v>202</v>
      </c>
      <c r="AB32" s="167">
        <v>-2</v>
      </c>
      <c r="AC32" s="169">
        <v>2</v>
      </c>
      <c r="AD32" s="167">
        <v>-2</v>
      </c>
      <c r="AE32" s="164">
        <v>1</v>
      </c>
      <c r="AF32" s="166">
        <v>0</v>
      </c>
      <c r="AG32" s="164">
        <v>1</v>
      </c>
    </row>
    <row r="33" spans="1:33">
      <c r="A33" s="285"/>
      <c r="B33" s="265"/>
      <c r="C33" s="7" t="s">
        <v>57</v>
      </c>
      <c r="D33" s="7" t="s">
        <v>58</v>
      </c>
      <c r="E33" s="7" t="s">
        <v>59</v>
      </c>
      <c r="F33" s="8" t="s">
        <v>57</v>
      </c>
      <c r="G33" s="8" t="s">
        <v>58</v>
      </c>
      <c r="H33" s="8" t="s">
        <v>59</v>
      </c>
      <c r="I33" s="265"/>
      <c r="J33" s="265"/>
      <c r="K33" s="288"/>
      <c r="M33" s="285"/>
      <c r="N33" s="265"/>
      <c r="O33" s="7" t="s">
        <v>57</v>
      </c>
      <c r="P33" s="7" t="s">
        <v>58</v>
      </c>
      <c r="Q33" s="7" t="s">
        <v>59</v>
      </c>
      <c r="R33" s="8" t="s">
        <v>57</v>
      </c>
      <c r="S33" s="8" t="s">
        <v>58</v>
      </c>
      <c r="T33" s="18" t="s">
        <v>59</v>
      </c>
      <c r="Z33" s="241"/>
      <c r="AA33" s="163" t="s">
        <v>203</v>
      </c>
      <c r="AB33" s="170">
        <v>-3</v>
      </c>
      <c r="AC33" s="166">
        <v>0</v>
      </c>
      <c r="AD33" s="170">
        <v>-3</v>
      </c>
      <c r="AE33" s="164">
        <v>1</v>
      </c>
      <c r="AF33" s="169">
        <v>2</v>
      </c>
      <c r="AG33" s="168">
        <v>3</v>
      </c>
    </row>
    <row r="34" spans="1:33">
      <c r="A34" s="9" t="s">
        <v>63</v>
      </c>
      <c r="B34" s="10">
        <f>$J34*$B$57</f>
        <v>2.39</v>
      </c>
      <c r="C34" s="11">
        <f t="shared" ref="C34:H34" si="22">$J34*$B$57*B$53</f>
        <v>2.39</v>
      </c>
      <c r="D34" s="11">
        <f t="shared" si="22"/>
        <v>2.39</v>
      </c>
      <c r="E34" s="11">
        <f t="shared" si="22"/>
        <v>2.39</v>
      </c>
      <c r="F34" s="12">
        <f t="shared" si="22"/>
        <v>2.39</v>
      </c>
      <c r="G34" s="12">
        <f t="shared" si="22"/>
        <v>2.39</v>
      </c>
      <c r="H34" s="12">
        <f t="shared" si="22"/>
        <v>1.1950000000000001</v>
      </c>
      <c r="I34" s="10">
        <v>2.5</v>
      </c>
      <c r="J34" s="19">
        <f>ROUNDDOWN($E$58/$E$57*$I34,2)</f>
        <v>2.39</v>
      </c>
      <c r="K34" s="20">
        <f t="shared" ref="K34:K48" si="23">ROUNDDOWN(J34*$G$57,2)</f>
        <v>2.0299999999999998</v>
      </c>
      <c r="M34" s="9" t="s">
        <v>0</v>
      </c>
      <c r="N34" s="19">
        <f t="shared" ref="N34:S34" si="24">L4/B34</f>
        <v>75.313807531380746</v>
      </c>
      <c r="O34" s="19">
        <f t="shared" si="24"/>
        <v>105.43933054393305</v>
      </c>
      <c r="P34" s="19">
        <f t="shared" si="24"/>
        <v>120.5020920502092</v>
      </c>
      <c r="Q34" s="19">
        <f>O4/E34</f>
        <v>135.56485355648536</v>
      </c>
      <c r="R34" s="19">
        <f t="shared" si="24"/>
        <v>67.78242677824268</v>
      </c>
      <c r="S34" s="19">
        <f t="shared" si="24"/>
        <v>60.2510460251046</v>
      </c>
      <c r="T34" s="20">
        <f>R4/$E$58</f>
        <v>52.719665271966527</v>
      </c>
      <c r="Z34" s="240" t="s">
        <v>204</v>
      </c>
      <c r="AA34" s="163" t="s">
        <v>205</v>
      </c>
      <c r="AB34" s="164">
        <v>1</v>
      </c>
      <c r="AC34" s="169">
        <v>2</v>
      </c>
      <c r="AD34" s="166">
        <v>0</v>
      </c>
      <c r="AE34" s="167">
        <v>-2</v>
      </c>
      <c r="AF34" s="165">
        <v>-1</v>
      </c>
      <c r="AG34" s="166">
        <v>0</v>
      </c>
    </row>
    <row r="35" spans="1:33">
      <c r="A35" s="9" t="s">
        <v>128</v>
      </c>
      <c r="B35" s="10">
        <f>((B34*$T$51)+(B34*($T$51*$N$51)))/$T$51</f>
        <v>3.3460000000000001</v>
      </c>
      <c r="C35" s="11">
        <f t="shared" ref="C35:H35" si="25">((C34*$T$51)+(C34*($T$51*$N$51)))/$T$51</f>
        <v>3.3460000000000001</v>
      </c>
      <c r="D35" s="11">
        <f t="shared" si="25"/>
        <v>3.3460000000000001</v>
      </c>
      <c r="E35" s="11">
        <f t="shared" si="25"/>
        <v>3.3460000000000001</v>
      </c>
      <c r="F35" s="12">
        <f t="shared" si="25"/>
        <v>3.3460000000000001</v>
      </c>
      <c r="G35" s="12">
        <f t="shared" si="25"/>
        <v>3.3460000000000001</v>
      </c>
      <c r="H35" s="12">
        <f t="shared" si="25"/>
        <v>1.673</v>
      </c>
      <c r="I35" s="10" t="s">
        <v>86</v>
      </c>
      <c r="J35" s="19">
        <f>B35</f>
        <v>3.3460000000000001</v>
      </c>
      <c r="K35" s="20">
        <f t="shared" si="23"/>
        <v>2.84</v>
      </c>
      <c r="M35" s="9" t="s">
        <v>2</v>
      </c>
      <c r="N35" s="19">
        <f t="shared" ref="N35:S35" si="26">L6/B36</f>
        <v>34.965034965034967</v>
      </c>
      <c r="O35" s="19">
        <f t="shared" si="26"/>
        <v>48.951048951048953</v>
      </c>
      <c r="P35" s="19">
        <f t="shared" si="26"/>
        <v>55.944055944055947</v>
      </c>
      <c r="Q35" s="19">
        <f t="shared" si="26"/>
        <v>62.93706293706294</v>
      </c>
      <c r="R35" s="19">
        <f t="shared" si="26"/>
        <v>31.46853146853147</v>
      </c>
      <c r="S35" s="19">
        <f t="shared" si="26"/>
        <v>27.972027972027973</v>
      </c>
      <c r="T35" s="20">
        <f>R6/$E$58</f>
        <v>29.28870292887029</v>
      </c>
      <c r="Z35" s="241"/>
      <c r="AA35" s="163" t="s">
        <v>206</v>
      </c>
      <c r="AB35" s="167">
        <v>-2</v>
      </c>
      <c r="AC35" s="164">
        <v>1</v>
      </c>
      <c r="AD35" s="170">
        <v>-3</v>
      </c>
      <c r="AE35" s="165">
        <v>-1</v>
      </c>
      <c r="AF35" s="168">
        <v>3</v>
      </c>
      <c r="AG35" s="169">
        <v>2</v>
      </c>
    </row>
    <row r="36" spans="1:33">
      <c r="A36" s="9" t="s">
        <v>64</v>
      </c>
      <c r="B36" s="10">
        <f t="shared" ref="B36:B48" si="27">$J36*$B$57</f>
        <v>2.86</v>
      </c>
      <c r="C36" s="11">
        <f t="shared" ref="C36:H40" si="28">$J36*$B$57*B$53</f>
        <v>2.86</v>
      </c>
      <c r="D36" s="11">
        <f t="shared" si="28"/>
        <v>2.86</v>
      </c>
      <c r="E36" s="11">
        <f t="shared" si="28"/>
        <v>2.86</v>
      </c>
      <c r="F36" s="12">
        <f t="shared" si="28"/>
        <v>2.86</v>
      </c>
      <c r="G36" s="12">
        <f t="shared" si="28"/>
        <v>2.86</v>
      </c>
      <c r="H36" s="12">
        <f t="shared" si="28"/>
        <v>1.43</v>
      </c>
      <c r="I36" s="10">
        <v>3</v>
      </c>
      <c r="J36" s="19">
        <f t="shared" ref="J36:J48" si="29">ROUNDDOWN($E$58/$E$57*$I36,2)</f>
        <v>2.86</v>
      </c>
      <c r="K36" s="20">
        <f t="shared" si="23"/>
        <v>2.4300000000000002</v>
      </c>
      <c r="M36" s="9" t="s">
        <v>3</v>
      </c>
      <c r="N36" s="19">
        <f>L8/B37</f>
        <v>71.856287425149702</v>
      </c>
      <c r="O36" s="19">
        <f t="shared" ref="O36:T36" si="30">M8/C37</f>
        <v>100.59880239520959</v>
      </c>
      <c r="P36" s="19">
        <f t="shared" si="30"/>
        <v>114.97005988023953</v>
      </c>
      <c r="Q36" s="19">
        <f>O8/E37</f>
        <v>129.34131736526948</v>
      </c>
      <c r="R36" s="19">
        <f t="shared" si="30"/>
        <v>64.670658682634738</v>
      </c>
      <c r="S36" s="19">
        <f t="shared" si="30"/>
        <v>57.485029940119766</v>
      </c>
      <c r="T36" s="20">
        <f t="shared" si="30"/>
        <v>100.59880239520959</v>
      </c>
      <c r="U36" s="1">
        <f>O7/E38</f>
        <v>180.75313807531379</v>
      </c>
      <c r="Z36" s="240" t="s">
        <v>207</v>
      </c>
      <c r="AA36" s="163" t="s">
        <v>208</v>
      </c>
      <c r="AB36" s="169">
        <v>2</v>
      </c>
      <c r="AC36" s="167">
        <v>-2</v>
      </c>
      <c r="AD36" s="168">
        <v>3</v>
      </c>
      <c r="AE36" s="170">
        <v>-3</v>
      </c>
      <c r="AF36" s="164">
        <v>1</v>
      </c>
      <c r="AG36" s="165">
        <v>-1</v>
      </c>
    </row>
    <row r="37" spans="1:33">
      <c r="A37" s="9" t="s">
        <v>65</v>
      </c>
      <c r="B37" s="10">
        <f t="shared" si="27"/>
        <v>3.34</v>
      </c>
      <c r="C37" s="11">
        <f t="shared" si="28"/>
        <v>3.34</v>
      </c>
      <c r="D37" s="11">
        <f t="shared" si="28"/>
        <v>3.34</v>
      </c>
      <c r="E37" s="11">
        <f t="shared" si="28"/>
        <v>3.34</v>
      </c>
      <c r="F37" s="12">
        <f t="shared" si="28"/>
        <v>3.34</v>
      </c>
      <c r="G37" s="12">
        <f t="shared" si="28"/>
        <v>3.34</v>
      </c>
      <c r="H37" s="12">
        <f t="shared" si="28"/>
        <v>1.67</v>
      </c>
      <c r="I37" s="10">
        <v>3.5</v>
      </c>
      <c r="J37" s="19">
        <f t="shared" si="29"/>
        <v>3.34</v>
      </c>
      <c r="K37" s="20">
        <f t="shared" si="23"/>
        <v>2.83</v>
      </c>
      <c r="M37" s="9" t="s">
        <v>5</v>
      </c>
      <c r="N37" s="19">
        <f t="shared" ref="N37:S38" si="31">L9/B39</f>
        <v>97.902097902097907</v>
      </c>
      <c r="O37" s="19">
        <f t="shared" si="31"/>
        <v>137.06293706293707</v>
      </c>
      <c r="P37" s="19">
        <f t="shared" si="31"/>
        <v>156.64335664335664</v>
      </c>
      <c r="Q37" s="19">
        <f>O9/E39</f>
        <v>176.22377622377624</v>
      </c>
      <c r="R37" s="19">
        <f t="shared" si="31"/>
        <v>88.111888111888121</v>
      </c>
      <c r="S37" s="19">
        <f t="shared" si="31"/>
        <v>78.32167832167832</v>
      </c>
      <c r="T37" s="20">
        <f>R9/$E$58</f>
        <v>82.008368200836813</v>
      </c>
      <c r="Z37" s="241"/>
      <c r="AA37" s="163" t="s">
        <v>209</v>
      </c>
      <c r="AB37" s="166">
        <v>0</v>
      </c>
      <c r="AC37" s="170">
        <v>-3</v>
      </c>
      <c r="AD37" s="164">
        <v>1</v>
      </c>
      <c r="AE37" s="166">
        <v>0</v>
      </c>
      <c r="AF37" s="169">
        <v>2</v>
      </c>
      <c r="AG37" s="166">
        <v>0</v>
      </c>
    </row>
    <row r="38" spans="1:33">
      <c r="A38" s="9" t="s">
        <v>129</v>
      </c>
      <c r="B38" s="10">
        <f t="shared" si="27"/>
        <v>2.39</v>
      </c>
      <c r="C38" s="11">
        <f t="shared" si="28"/>
        <v>2.39</v>
      </c>
      <c r="D38" s="11">
        <f t="shared" si="28"/>
        <v>2.39</v>
      </c>
      <c r="E38" s="11">
        <f t="shared" si="28"/>
        <v>2.39</v>
      </c>
      <c r="F38" s="12">
        <f t="shared" si="28"/>
        <v>2.39</v>
      </c>
      <c r="G38" s="12">
        <f t="shared" si="28"/>
        <v>2.39</v>
      </c>
      <c r="H38" s="12">
        <f t="shared" si="28"/>
        <v>1.1950000000000001</v>
      </c>
      <c r="I38" s="10">
        <v>2.5</v>
      </c>
      <c r="J38" s="19">
        <f t="shared" si="29"/>
        <v>2.39</v>
      </c>
      <c r="K38" s="20">
        <f t="shared" si="23"/>
        <v>2.0299999999999998</v>
      </c>
      <c r="M38" s="9" t="s">
        <v>9</v>
      </c>
      <c r="N38" s="19">
        <f t="shared" si="31"/>
        <v>68.062827225130889</v>
      </c>
      <c r="O38" s="19">
        <f t="shared" si="31"/>
        <v>95.287958115183244</v>
      </c>
      <c r="P38" s="19">
        <f t="shared" si="31"/>
        <v>108.90052356020942</v>
      </c>
      <c r="Q38" s="19">
        <f t="shared" si="31"/>
        <v>122.51308900523561</v>
      </c>
      <c r="R38" s="19">
        <f t="shared" si="31"/>
        <v>61.256544502617807</v>
      </c>
      <c r="S38" s="19">
        <f t="shared" si="31"/>
        <v>54.450261780104711</v>
      </c>
      <c r="T38" s="20">
        <f>R10/$E$58</f>
        <v>76.15062761506276</v>
      </c>
      <c r="U38" s="1">
        <f>O10/E58</f>
        <v>195.81589958158995</v>
      </c>
      <c r="Z38" s="240" t="s">
        <v>210</v>
      </c>
      <c r="AA38" s="163" t="s">
        <v>211</v>
      </c>
      <c r="AB38" s="166" t="s">
        <v>212</v>
      </c>
      <c r="AC38" s="166" t="s">
        <v>212</v>
      </c>
      <c r="AD38" s="166" t="s">
        <v>212</v>
      </c>
      <c r="AE38" s="166" t="s">
        <v>212</v>
      </c>
      <c r="AF38" s="166" t="s">
        <v>212</v>
      </c>
      <c r="AG38" s="166" t="s">
        <v>212</v>
      </c>
    </row>
    <row r="39" spans="1:33">
      <c r="A39" s="9" t="s">
        <v>66</v>
      </c>
      <c r="B39" s="10">
        <f t="shared" si="27"/>
        <v>2.86</v>
      </c>
      <c r="C39" s="11">
        <f t="shared" si="28"/>
        <v>2.86</v>
      </c>
      <c r="D39" s="11">
        <f t="shared" si="28"/>
        <v>2.86</v>
      </c>
      <c r="E39" s="11">
        <f t="shared" si="28"/>
        <v>2.86</v>
      </c>
      <c r="F39" s="12">
        <f t="shared" si="28"/>
        <v>2.86</v>
      </c>
      <c r="G39" s="12">
        <f t="shared" si="28"/>
        <v>2.86</v>
      </c>
      <c r="H39" s="12">
        <f t="shared" si="28"/>
        <v>1.43</v>
      </c>
      <c r="I39" s="10">
        <v>3</v>
      </c>
      <c r="J39" s="19">
        <f t="shared" si="29"/>
        <v>2.86</v>
      </c>
      <c r="K39" s="20">
        <f t="shared" si="23"/>
        <v>2.4300000000000002</v>
      </c>
      <c r="M39" s="9" t="s">
        <v>7</v>
      </c>
      <c r="N39" s="19">
        <f>L11/B41</f>
        <v>75.313807531380746</v>
      </c>
      <c r="O39" s="19">
        <f>M11/C41</f>
        <v>67.78242677824268</v>
      </c>
      <c r="P39" s="19">
        <f>N11/D41</f>
        <v>60.2510460251046</v>
      </c>
      <c r="Q39" s="19">
        <f>O11/$E$58</f>
        <v>52.719665271966527</v>
      </c>
      <c r="R39" s="19">
        <f>P11/F41</f>
        <v>75.313807531380746</v>
      </c>
      <c r="S39" s="19">
        <f>Q11/G41</f>
        <v>75.313807531380746</v>
      </c>
      <c r="T39" s="20">
        <f>R11/H41</f>
        <v>75.313807531380746</v>
      </c>
      <c r="Z39" s="241"/>
      <c r="AA39" s="163" t="s">
        <v>213</v>
      </c>
      <c r="AB39" s="166" t="s">
        <v>212</v>
      </c>
      <c r="AC39" s="166" t="s">
        <v>212</v>
      </c>
      <c r="AD39" s="166" t="s">
        <v>212</v>
      </c>
      <c r="AE39" s="166" t="s">
        <v>212</v>
      </c>
      <c r="AF39" s="166" t="s">
        <v>212</v>
      </c>
      <c r="AG39" s="166" t="s">
        <v>212</v>
      </c>
    </row>
    <row r="40" spans="1:33">
      <c r="A40" s="9" t="s">
        <v>67</v>
      </c>
      <c r="B40" s="10">
        <f t="shared" si="27"/>
        <v>3.82</v>
      </c>
      <c r="C40" s="11">
        <f t="shared" si="28"/>
        <v>3.82</v>
      </c>
      <c r="D40" s="11">
        <f t="shared" si="28"/>
        <v>3.82</v>
      </c>
      <c r="E40" s="11">
        <f t="shared" si="28"/>
        <v>3.82</v>
      </c>
      <c r="F40" s="12">
        <f t="shared" si="28"/>
        <v>3.82</v>
      </c>
      <c r="G40" s="12">
        <f t="shared" si="28"/>
        <v>3.82</v>
      </c>
      <c r="H40" s="12">
        <f t="shared" si="28"/>
        <v>1.91</v>
      </c>
      <c r="I40" s="10">
        <v>4</v>
      </c>
      <c r="J40" s="19">
        <f t="shared" si="29"/>
        <v>3.82</v>
      </c>
      <c r="K40" s="20">
        <f t="shared" si="23"/>
        <v>3.24</v>
      </c>
      <c r="M40" s="9" t="s">
        <v>8</v>
      </c>
      <c r="N40" s="19">
        <f>L12/$E$58</f>
        <v>20.920502092050206</v>
      </c>
      <c r="O40" s="19">
        <f>M12/$E$58</f>
        <v>18.828451882845187</v>
      </c>
      <c r="P40" s="19">
        <f>N12/E58</f>
        <v>16.736401673640167</v>
      </c>
      <c r="Q40" s="19">
        <f t="shared" ref="Q40:Q42" si="32">O12/$E$58</f>
        <v>14.644351464435145</v>
      </c>
      <c r="R40" s="19">
        <f>P12/$E$58</f>
        <v>20.920502092050206</v>
      </c>
      <c r="S40" s="19">
        <f>Q12/$E$58</f>
        <v>20.920502092050206</v>
      </c>
      <c r="T40" s="20">
        <f>R12/$E$58</f>
        <v>20.920502092050206</v>
      </c>
    </row>
    <row r="41" spans="1:33">
      <c r="A41" s="9" t="s">
        <v>68</v>
      </c>
      <c r="B41" s="10">
        <f t="shared" si="27"/>
        <v>2.39</v>
      </c>
      <c r="C41" s="11">
        <f t="shared" ref="C41:H45" si="33">$J41*$B$57*B$54</f>
        <v>2.39</v>
      </c>
      <c r="D41" s="11">
        <f t="shared" si="33"/>
        <v>2.39</v>
      </c>
      <c r="E41" s="11">
        <f t="shared" si="33"/>
        <v>1.1950000000000001</v>
      </c>
      <c r="F41" s="12">
        <f t="shared" si="33"/>
        <v>2.39</v>
      </c>
      <c r="G41" s="12">
        <f t="shared" si="33"/>
        <v>2.39</v>
      </c>
      <c r="H41" s="12">
        <f t="shared" si="33"/>
        <v>2.39</v>
      </c>
      <c r="I41" s="10">
        <v>2.5</v>
      </c>
      <c r="J41" s="19">
        <f t="shared" si="29"/>
        <v>2.39</v>
      </c>
      <c r="K41" s="20">
        <f t="shared" si="23"/>
        <v>2.0299999999999998</v>
      </c>
      <c r="M41" s="9" t="s">
        <v>11</v>
      </c>
      <c r="N41" s="19">
        <f t="shared" ref="N41:P43" si="34">L13/B43</f>
        <v>71.856287425149702</v>
      </c>
      <c r="O41" s="19">
        <f t="shared" si="34"/>
        <v>64.670658682634738</v>
      </c>
      <c r="P41" s="19">
        <f t="shared" si="34"/>
        <v>57.485029940119766</v>
      </c>
      <c r="Q41" s="19">
        <f>O13/$E$58</f>
        <v>70.292887029288693</v>
      </c>
      <c r="R41" s="19">
        <f t="shared" ref="R41:T43" si="35">P13/F43</f>
        <v>71.856287425149702</v>
      </c>
      <c r="S41" s="19">
        <f t="shared" si="35"/>
        <v>71.856287425149702</v>
      </c>
      <c r="T41" s="20">
        <f t="shared" si="35"/>
        <v>71.856287425149702</v>
      </c>
    </row>
    <row r="42" spans="1:33">
      <c r="A42" s="9" t="s">
        <v>69</v>
      </c>
      <c r="B42" s="10">
        <f t="shared" si="27"/>
        <v>1.91</v>
      </c>
      <c r="C42" s="11">
        <f t="shared" si="33"/>
        <v>1.91</v>
      </c>
      <c r="D42" s="11">
        <f t="shared" si="33"/>
        <v>1.91</v>
      </c>
      <c r="E42" s="11">
        <f t="shared" si="33"/>
        <v>0.95499999999999996</v>
      </c>
      <c r="F42" s="12">
        <f t="shared" si="33"/>
        <v>1.91</v>
      </c>
      <c r="G42" s="12">
        <f t="shared" si="33"/>
        <v>1.91</v>
      </c>
      <c r="H42" s="12">
        <f t="shared" si="33"/>
        <v>1.91</v>
      </c>
      <c r="I42" s="10">
        <v>2</v>
      </c>
      <c r="J42" s="19">
        <f t="shared" si="29"/>
        <v>1.91</v>
      </c>
      <c r="K42" s="20">
        <f t="shared" si="23"/>
        <v>1.62</v>
      </c>
      <c r="M42" s="9" t="s">
        <v>13</v>
      </c>
      <c r="N42" s="19">
        <f t="shared" si="34"/>
        <v>97.902097902097907</v>
      </c>
      <c r="O42" s="19">
        <f t="shared" si="34"/>
        <v>88.111888111888121</v>
      </c>
      <c r="P42" s="19">
        <f t="shared" si="34"/>
        <v>78.32167832167832</v>
      </c>
      <c r="Q42" s="19">
        <f t="shared" si="32"/>
        <v>82.008368200836813</v>
      </c>
      <c r="R42" s="19">
        <f t="shared" si="35"/>
        <v>97.902097902097907</v>
      </c>
      <c r="S42" s="19">
        <f t="shared" si="35"/>
        <v>97.902097902097907</v>
      </c>
      <c r="T42" s="20">
        <f t="shared" si="35"/>
        <v>97.902097902097907</v>
      </c>
    </row>
    <row r="43" spans="1:33">
      <c r="A43" s="9" t="s">
        <v>70</v>
      </c>
      <c r="B43" s="10">
        <f t="shared" si="27"/>
        <v>3.34</v>
      </c>
      <c r="C43" s="11">
        <f t="shared" si="33"/>
        <v>3.34</v>
      </c>
      <c r="D43" s="11">
        <f t="shared" si="33"/>
        <v>3.34</v>
      </c>
      <c r="E43" s="11">
        <f t="shared" si="33"/>
        <v>1.67</v>
      </c>
      <c r="F43" s="12">
        <f t="shared" si="33"/>
        <v>3.34</v>
      </c>
      <c r="G43" s="12">
        <f t="shared" si="33"/>
        <v>3.34</v>
      </c>
      <c r="H43" s="12">
        <f t="shared" si="33"/>
        <v>3.34</v>
      </c>
      <c r="I43" s="10">
        <v>3.5</v>
      </c>
      <c r="J43" s="19">
        <f t="shared" si="29"/>
        <v>3.34</v>
      </c>
      <c r="K43" s="20">
        <f t="shared" si="23"/>
        <v>2.83</v>
      </c>
      <c r="M43" s="9" t="s">
        <v>15</v>
      </c>
      <c r="N43" s="19">
        <f t="shared" si="34"/>
        <v>34.965034965034967</v>
      </c>
      <c r="O43" s="19">
        <f t="shared" si="34"/>
        <v>31.46853146853147</v>
      </c>
      <c r="P43" s="19">
        <f t="shared" si="34"/>
        <v>27.972027972027973</v>
      </c>
      <c r="Q43" s="19">
        <f>O15/$E$58</f>
        <v>29.28870292887029</v>
      </c>
      <c r="R43" s="19">
        <f t="shared" si="35"/>
        <v>34.965034965034967</v>
      </c>
      <c r="S43" s="19">
        <f t="shared" si="35"/>
        <v>34.965034965034967</v>
      </c>
      <c r="T43" s="20">
        <f t="shared" si="35"/>
        <v>34.965034965034967</v>
      </c>
    </row>
    <row r="44" spans="1:33">
      <c r="A44" s="9" t="s">
        <v>71</v>
      </c>
      <c r="B44" s="10">
        <f t="shared" si="27"/>
        <v>2.86</v>
      </c>
      <c r="C44" s="11">
        <f t="shared" si="33"/>
        <v>2.86</v>
      </c>
      <c r="D44" s="11">
        <f t="shared" si="33"/>
        <v>2.86</v>
      </c>
      <c r="E44" s="11">
        <f t="shared" si="33"/>
        <v>1.43</v>
      </c>
      <c r="F44" s="12">
        <f t="shared" si="33"/>
        <v>2.86</v>
      </c>
      <c r="G44" s="12">
        <f t="shared" si="33"/>
        <v>2.86</v>
      </c>
      <c r="H44" s="12">
        <f t="shared" si="33"/>
        <v>2.86</v>
      </c>
      <c r="I44" s="10">
        <v>3</v>
      </c>
      <c r="J44" s="19">
        <f t="shared" si="29"/>
        <v>2.86</v>
      </c>
      <c r="K44" s="20">
        <f t="shared" si="23"/>
        <v>2.4300000000000002</v>
      </c>
      <c r="M44" s="9"/>
      <c r="N44" s="10"/>
      <c r="O44" s="21" t="s">
        <v>43</v>
      </c>
      <c r="P44" s="21" t="s">
        <v>41</v>
      </c>
      <c r="Q44" s="21" t="s">
        <v>45</v>
      </c>
      <c r="R44" s="19"/>
      <c r="S44" s="19"/>
      <c r="T44" s="20"/>
    </row>
    <row r="45" spans="1:33">
      <c r="A45" s="9" t="s">
        <v>72</v>
      </c>
      <c r="B45" s="10">
        <f t="shared" si="27"/>
        <v>2.86</v>
      </c>
      <c r="C45" s="11">
        <f t="shared" si="33"/>
        <v>2.86</v>
      </c>
      <c r="D45" s="11">
        <f t="shared" si="33"/>
        <v>2.86</v>
      </c>
      <c r="E45" s="11">
        <f t="shared" si="33"/>
        <v>1.43</v>
      </c>
      <c r="F45" s="12">
        <f t="shared" si="33"/>
        <v>2.86</v>
      </c>
      <c r="G45" s="12">
        <f t="shared" si="33"/>
        <v>2.86</v>
      </c>
      <c r="H45" s="12">
        <f t="shared" si="33"/>
        <v>2.86</v>
      </c>
      <c r="I45" s="10">
        <v>3</v>
      </c>
      <c r="J45" s="19">
        <f t="shared" si="29"/>
        <v>2.86</v>
      </c>
      <c r="K45" s="20">
        <f t="shared" si="23"/>
        <v>2.4300000000000002</v>
      </c>
      <c r="M45" s="9" t="s">
        <v>16</v>
      </c>
      <c r="N45" s="19">
        <f>L17/B46</f>
        <v>100.418410041841</v>
      </c>
      <c r="O45" s="19">
        <f>L17/C46</f>
        <v>100.418410041841</v>
      </c>
      <c r="P45" s="19">
        <f>Q17/C46</f>
        <v>100.418410041841</v>
      </c>
      <c r="Q45" s="19">
        <f>R17/C46</f>
        <v>100.418410041841</v>
      </c>
      <c r="R45" s="253" t="s">
        <v>79</v>
      </c>
      <c r="S45" s="254"/>
      <c r="T45" s="255"/>
    </row>
    <row r="46" spans="1:33">
      <c r="A46" s="9" t="s">
        <v>73</v>
      </c>
      <c r="B46" s="10">
        <f t="shared" si="27"/>
        <v>2.39</v>
      </c>
      <c r="C46" s="11">
        <f t="shared" ref="C46:H48" si="36">$J46*$B$57*B$55</f>
        <v>2.39</v>
      </c>
      <c r="D46" s="11">
        <f t="shared" si="36"/>
        <v>2.39</v>
      </c>
      <c r="E46" s="11">
        <f t="shared" si="36"/>
        <v>2.39</v>
      </c>
      <c r="F46" s="12">
        <f t="shared" si="36"/>
        <v>2.39</v>
      </c>
      <c r="G46" s="12">
        <f t="shared" si="36"/>
        <v>2.39</v>
      </c>
      <c r="H46" s="12">
        <f t="shared" si="36"/>
        <v>2.39</v>
      </c>
      <c r="I46" s="10">
        <v>2.5</v>
      </c>
      <c r="J46" s="19">
        <f t="shared" si="29"/>
        <v>2.39</v>
      </c>
      <c r="K46" s="20">
        <f t="shared" si="23"/>
        <v>2.0299999999999998</v>
      </c>
      <c r="M46" s="9" t="s">
        <v>18</v>
      </c>
      <c r="N46" s="19">
        <f>L18/B47</f>
        <v>103.14685314685315</v>
      </c>
      <c r="O46" s="19">
        <f>L18/C47</f>
        <v>103.14685314685315</v>
      </c>
      <c r="P46" s="19">
        <f>Q18/C47</f>
        <v>103.14685314685315</v>
      </c>
      <c r="Q46" s="19">
        <f>R18/C47</f>
        <v>103.14685314685315</v>
      </c>
      <c r="R46" s="256"/>
      <c r="S46" s="257"/>
      <c r="T46" s="258"/>
    </row>
    <row r="47" spans="1:33" ht="15" thickBot="1">
      <c r="A47" s="9" t="s">
        <v>74</v>
      </c>
      <c r="B47" s="10">
        <f t="shared" si="27"/>
        <v>2.86</v>
      </c>
      <c r="C47" s="11">
        <f t="shared" si="36"/>
        <v>2.86</v>
      </c>
      <c r="D47" s="11">
        <f t="shared" si="36"/>
        <v>2.86</v>
      </c>
      <c r="E47" s="11">
        <f t="shared" si="36"/>
        <v>2.86</v>
      </c>
      <c r="F47" s="12">
        <f t="shared" si="36"/>
        <v>2.86</v>
      </c>
      <c r="G47" s="12">
        <f t="shared" si="36"/>
        <v>2.86</v>
      </c>
      <c r="H47" s="12">
        <f t="shared" si="36"/>
        <v>2.86</v>
      </c>
      <c r="I47" s="10">
        <v>3</v>
      </c>
      <c r="J47" s="19">
        <f t="shared" si="29"/>
        <v>2.86</v>
      </c>
      <c r="K47" s="20">
        <f t="shared" si="23"/>
        <v>2.4300000000000002</v>
      </c>
      <c r="M47" s="22" t="s">
        <v>20</v>
      </c>
      <c r="N47" s="23">
        <f>L19/B48</f>
        <v>101.79640718562875</v>
      </c>
      <c r="O47" s="23">
        <f>L19/C48</f>
        <v>101.79640718562875</v>
      </c>
      <c r="P47" s="23">
        <f>Q19/C48</f>
        <v>101.79640718562875</v>
      </c>
      <c r="Q47" s="23">
        <f>R19/C48</f>
        <v>101.79640718562875</v>
      </c>
      <c r="R47" s="259"/>
      <c r="S47" s="260"/>
      <c r="T47" s="261"/>
    </row>
    <row r="48" spans="1:33" ht="15" thickBot="1">
      <c r="A48" s="9" t="s">
        <v>75</v>
      </c>
      <c r="B48" s="10">
        <f t="shared" si="27"/>
        <v>3.34</v>
      </c>
      <c r="C48" s="11">
        <f t="shared" si="36"/>
        <v>3.34</v>
      </c>
      <c r="D48" s="11">
        <f t="shared" si="36"/>
        <v>3.34</v>
      </c>
      <c r="E48" s="11">
        <f t="shared" si="36"/>
        <v>3.34</v>
      </c>
      <c r="F48" s="12">
        <f t="shared" si="36"/>
        <v>3.34</v>
      </c>
      <c r="G48" s="12">
        <f t="shared" si="36"/>
        <v>3.34</v>
      </c>
      <c r="H48" s="12">
        <f t="shared" si="36"/>
        <v>3.34</v>
      </c>
      <c r="I48" s="10">
        <v>3.5</v>
      </c>
      <c r="J48" s="19">
        <f t="shared" si="29"/>
        <v>3.34</v>
      </c>
      <c r="K48" s="20">
        <f t="shared" si="23"/>
        <v>2.83</v>
      </c>
    </row>
    <row r="49" spans="1:2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9"/>
      <c r="M49" s="248" t="s">
        <v>80</v>
      </c>
      <c r="N49" s="249"/>
      <c r="O49" s="249"/>
      <c r="P49" s="249"/>
      <c r="Q49" s="249"/>
      <c r="R49" s="249"/>
      <c r="S49" s="249"/>
      <c r="T49" s="249"/>
      <c r="U49" s="250"/>
    </row>
    <row r="50" spans="1:21">
      <c r="A50" s="9" t="s">
        <v>23</v>
      </c>
      <c r="B50" s="265" t="s">
        <v>48</v>
      </c>
      <c r="C50" s="265"/>
      <c r="D50" s="265"/>
      <c r="E50" s="265"/>
      <c r="F50" s="265"/>
      <c r="G50" s="265"/>
      <c r="H50" s="270"/>
      <c r="I50" s="268"/>
      <c r="J50" s="268"/>
      <c r="K50" s="269"/>
      <c r="M50" s="24"/>
      <c r="N50" s="16" t="s">
        <v>81</v>
      </c>
      <c r="O50" s="16" t="s">
        <v>82</v>
      </c>
      <c r="P50" s="16" t="s">
        <v>85</v>
      </c>
      <c r="Q50" s="16" t="s">
        <v>88</v>
      </c>
      <c r="R50" s="16" t="s">
        <v>89</v>
      </c>
      <c r="S50" s="16" t="s">
        <v>91</v>
      </c>
      <c r="T50" s="16" t="s">
        <v>90</v>
      </c>
      <c r="U50" s="17" t="s">
        <v>92</v>
      </c>
    </row>
    <row r="51" spans="1:21">
      <c r="A51" s="9"/>
      <c r="B51" s="266" t="s">
        <v>62</v>
      </c>
      <c r="C51" s="266"/>
      <c r="D51" s="266"/>
      <c r="E51" s="286" t="s">
        <v>56</v>
      </c>
      <c r="F51" s="286"/>
      <c r="G51" s="286"/>
      <c r="H51" s="270"/>
      <c r="I51" s="268"/>
      <c r="J51" s="268"/>
      <c r="K51" s="269"/>
      <c r="M51" s="9" t="s">
        <v>1</v>
      </c>
      <c r="N51" s="25">
        <v>0.4</v>
      </c>
      <c r="O51" s="25">
        <f>O8</f>
        <v>432</v>
      </c>
      <c r="P51" s="25">
        <f t="shared" ref="P51:P55" si="37">$E$58</f>
        <v>2.39</v>
      </c>
      <c r="Q51" s="25">
        <f>O51/P51</f>
        <v>180.75313807531379</v>
      </c>
      <c r="R51" s="25">
        <f>(O4+O51)/(E34+P51)</f>
        <v>158.15899581589957</v>
      </c>
      <c r="S51" s="25">
        <f>((O4*T51)+(O51*(T51*N51)))/T51</f>
        <v>496.8</v>
      </c>
      <c r="T51" s="25">
        <v>100</v>
      </c>
      <c r="U51" s="20">
        <f>S51/E35</f>
        <v>148.47579199043633</v>
      </c>
    </row>
    <row r="52" spans="1:21">
      <c r="A52" s="9"/>
      <c r="B52" s="7" t="s">
        <v>57</v>
      </c>
      <c r="C52" s="7" t="s">
        <v>58</v>
      </c>
      <c r="D52" s="7" t="s">
        <v>59</v>
      </c>
      <c r="E52" s="8" t="s">
        <v>57</v>
      </c>
      <c r="F52" s="8" t="s">
        <v>58</v>
      </c>
      <c r="G52" s="8" t="s">
        <v>59</v>
      </c>
      <c r="H52" s="270"/>
      <c r="I52" s="268"/>
      <c r="J52" s="268"/>
      <c r="K52" s="269"/>
      <c r="M52" s="224"/>
      <c r="N52" s="25" t="s">
        <v>230</v>
      </c>
      <c r="O52" s="25" t="s">
        <v>231</v>
      </c>
      <c r="P52" s="25" t="s">
        <v>85</v>
      </c>
      <c r="Q52" s="25" t="s">
        <v>232</v>
      </c>
      <c r="R52" s="25" t="s">
        <v>233</v>
      </c>
      <c r="S52" s="25" t="s">
        <v>234</v>
      </c>
      <c r="T52" s="25"/>
      <c r="U52" s="20"/>
    </row>
    <row r="53" spans="1:21">
      <c r="A53" s="9" t="s">
        <v>24</v>
      </c>
      <c r="B53" s="11">
        <v>1</v>
      </c>
      <c r="C53" s="11">
        <v>1</v>
      </c>
      <c r="D53" s="11">
        <v>1</v>
      </c>
      <c r="E53" s="12">
        <v>1</v>
      </c>
      <c r="F53" s="12">
        <v>1</v>
      </c>
      <c r="G53" s="12">
        <v>0.5</v>
      </c>
      <c r="H53" s="270"/>
      <c r="I53" s="268"/>
      <c r="J53" s="268"/>
      <c r="K53" s="269"/>
      <c r="M53" s="9" t="s">
        <v>17</v>
      </c>
      <c r="N53" s="25">
        <v>0.05</v>
      </c>
      <c r="O53" s="25">
        <f>Q17</f>
        <v>240</v>
      </c>
      <c r="P53" s="25">
        <f t="shared" si="37"/>
        <v>2.39</v>
      </c>
      <c r="Q53" s="25">
        <f>O53/P53</f>
        <v>100.418410041841</v>
      </c>
      <c r="R53" s="25">
        <f>Q62</f>
        <v>210</v>
      </c>
      <c r="S53" s="25">
        <f>(R53+O53)/P53</f>
        <v>188.28451882845187</v>
      </c>
      <c r="T53" s="25">
        <v>100</v>
      </c>
      <c r="U53" s="13" t="s">
        <v>86</v>
      </c>
    </row>
    <row r="54" spans="1:21" ht="15.75" customHeight="1">
      <c r="A54" s="9" t="s">
        <v>25</v>
      </c>
      <c r="B54" s="11">
        <v>1</v>
      </c>
      <c r="C54" s="11">
        <v>1</v>
      </c>
      <c r="D54" s="11">
        <v>0.5</v>
      </c>
      <c r="E54" s="12">
        <v>1</v>
      </c>
      <c r="F54" s="12">
        <v>1</v>
      </c>
      <c r="G54" s="12">
        <v>1</v>
      </c>
      <c r="H54" s="270"/>
      <c r="I54" s="268"/>
      <c r="J54" s="268"/>
      <c r="K54" s="269"/>
      <c r="M54" s="9" t="s">
        <v>19</v>
      </c>
      <c r="N54" s="25">
        <v>0.05</v>
      </c>
      <c r="O54" s="25">
        <f t="shared" ref="O54:O55" si="38">Q18</f>
        <v>295</v>
      </c>
      <c r="P54" s="25">
        <f t="shared" si="37"/>
        <v>2.39</v>
      </c>
      <c r="Q54" s="25">
        <f>O54/P54</f>
        <v>123.43096234309623</v>
      </c>
      <c r="R54" s="25">
        <f t="shared" ref="R54:R55" si="39">Q63</f>
        <v>245</v>
      </c>
      <c r="S54" s="25">
        <f t="shared" ref="S54" si="40">(R54+O54)/P54</f>
        <v>225.94142259414224</v>
      </c>
      <c r="T54" s="25">
        <v>100</v>
      </c>
      <c r="U54" s="13" t="s">
        <v>86</v>
      </c>
    </row>
    <row r="55" spans="1:21" ht="15" thickBot="1">
      <c r="A55" s="9" t="s">
        <v>26</v>
      </c>
      <c r="B55" s="11">
        <v>1</v>
      </c>
      <c r="C55" s="11">
        <v>1</v>
      </c>
      <c r="D55" s="11">
        <v>1</v>
      </c>
      <c r="E55" s="12">
        <v>1</v>
      </c>
      <c r="F55" s="12">
        <v>1</v>
      </c>
      <c r="G55" s="12">
        <v>1</v>
      </c>
      <c r="H55" s="270"/>
      <c r="I55" s="268"/>
      <c r="J55" s="268"/>
      <c r="K55" s="269"/>
      <c r="M55" s="22" t="s">
        <v>21</v>
      </c>
      <c r="N55" s="26">
        <v>0.05</v>
      </c>
      <c r="O55" s="26">
        <f t="shared" si="38"/>
        <v>340</v>
      </c>
      <c r="P55" s="26">
        <f t="shared" si="37"/>
        <v>2.39</v>
      </c>
      <c r="Q55" s="26">
        <f>O55/P55</f>
        <v>142.25941422594141</v>
      </c>
      <c r="R55" s="25">
        <f t="shared" si="39"/>
        <v>280</v>
      </c>
      <c r="S55" s="26">
        <f>(R55+O55)/P55</f>
        <v>259.41422594142256</v>
      </c>
      <c r="T55" s="26">
        <v>100</v>
      </c>
      <c r="U55" s="27" t="s">
        <v>86</v>
      </c>
    </row>
    <row r="56" spans="1:21">
      <c r="A56" s="267"/>
      <c r="B56" s="268"/>
      <c r="C56" s="268"/>
      <c r="D56" s="268"/>
      <c r="E56" s="268"/>
      <c r="F56" s="268"/>
      <c r="G56" s="268"/>
      <c r="H56" s="268"/>
      <c r="I56" s="268"/>
      <c r="J56" s="268"/>
      <c r="K56" s="269"/>
    </row>
    <row r="57" spans="1:21">
      <c r="A57" s="271" t="s">
        <v>94</v>
      </c>
      <c r="B57" s="14">
        <v>1</v>
      </c>
      <c r="C57" s="14" t="s">
        <v>31</v>
      </c>
      <c r="D57" s="14" t="s">
        <v>49</v>
      </c>
      <c r="E57" s="14">
        <v>2.5</v>
      </c>
      <c r="F57" s="38" t="s">
        <v>52</v>
      </c>
      <c r="G57" s="14">
        <v>0.85</v>
      </c>
      <c r="H57" s="37" t="s">
        <v>53</v>
      </c>
      <c r="I57" s="270"/>
      <c r="J57" s="268"/>
      <c r="K57" s="269"/>
      <c r="M57" s="247"/>
      <c r="N57" s="247"/>
      <c r="O57" s="247"/>
      <c r="P57" s="247"/>
      <c r="Q57" s="247"/>
      <c r="R57" s="247"/>
      <c r="S57" s="247"/>
      <c r="T57" s="247"/>
    </row>
    <row r="58" spans="1:21" ht="15" thickBot="1">
      <c r="A58" s="272"/>
      <c r="B58" s="15">
        <v>1</v>
      </c>
      <c r="C58" s="15" t="s">
        <v>76</v>
      </c>
      <c r="D58" s="15" t="s">
        <v>50</v>
      </c>
      <c r="E58" s="15">
        <v>2.39</v>
      </c>
      <c r="F58" s="39" t="s">
        <v>55</v>
      </c>
      <c r="G58" s="23">
        <f>ROUNDDOWN(E58*G57,2)</f>
        <v>2.0299999999999998</v>
      </c>
      <c r="H58" s="15"/>
      <c r="I58" s="279"/>
      <c r="J58" s="280"/>
      <c r="K58" s="281"/>
    </row>
    <row r="59" spans="1:21">
      <c r="K59" s="229"/>
    </row>
    <row r="60" spans="1:21" ht="15" thickBot="1">
      <c r="F60" s="1" t="s">
        <v>244</v>
      </c>
    </row>
    <row r="61" spans="1:21">
      <c r="D61" s="1" t="s">
        <v>237</v>
      </c>
      <c r="E61" s="1">
        <f>S55</f>
        <v>259.41422594142256</v>
      </c>
      <c r="F61" s="1">
        <f>Q55</f>
        <v>142.25941422594141</v>
      </c>
      <c r="K61" s="221"/>
      <c r="L61" s="222" t="s">
        <v>44</v>
      </c>
      <c r="M61" s="222" t="s">
        <v>37</v>
      </c>
      <c r="N61" s="222" t="s">
        <v>38</v>
      </c>
      <c r="O61" s="222" t="s">
        <v>39</v>
      </c>
      <c r="P61" s="222" t="s">
        <v>40</v>
      </c>
      <c r="Q61" s="222" t="s">
        <v>42</v>
      </c>
      <c r="R61" s="222" t="s">
        <v>45</v>
      </c>
      <c r="S61" s="223"/>
    </row>
    <row r="62" spans="1:21">
      <c r="D62" s="1" t="s">
        <v>238</v>
      </c>
      <c r="E62" s="1">
        <f>S54</f>
        <v>225.94142259414224</v>
      </c>
      <c r="F62" s="1">
        <f>R54</f>
        <v>245</v>
      </c>
      <c r="K62" s="220" t="s">
        <v>73</v>
      </c>
      <c r="L62" s="10">
        <f>ROUNDDOWN($S62*$L$28,0)</f>
        <v>30</v>
      </c>
      <c r="M62" s="10">
        <v>35</v>
      </c>
      <c r="N62" s="10">
        <v>18</v>
      </c>
      <c r="O62" s="10">
        <v>3</v>
      </c>
      <c r="P62" s="10">
        <f>N62/O62</f>
        <v>6</v>
      </c>
      <c r="Q62" s="10">
        <f>M62*P62</f>
        <v>210</v>
      </c>
      <c r="R62" s="10">
        <f>Q62+L62</f>
        <v>240</v>
      </c>
      <c r="S62" s="13">
        <v>30</v>
      </c>
    </row>
    <row r="63" spans="1:21">
      <c r="D63" s="1" t="s">
        <v>236</v>
      </c>
      <c r="E63" s="1">
        <f>S53</f>
        <v>188.28451882845187</v>
      </c>
      <c r="F63" s="1">
        <f>R53</f>
        <v>210</v>
      </c>
      <c r="K63" s="220" t="s">
        <v>74</v>
      </c>
      <c r="L63" s="10">
        <f>ROUNDDOWN($S63*$L$28,0)</f>
        <v>50</v>
      </c>
      <c r="M63" s="10">
        <v>35</v>
      </c>
      <c r="N63" s="10">
        <v>21</v>
      </c>
      <c r="O63" s="10">
        <v>3</v>
      </c>
      <c r="P63" s="10">
        <f t="shared" ref="P63:P64" si="41">N63/O63</f>
        <v>7</v>
      </c>
      <c r="Q63" s="10">
        <f t="shared" ref="Q63:Q64" si="42">M63*P63</f>
        <v>245</v>
      </c>
      <c r="R63" s="10">
        <f>Q63+L63</f>
        <v>295</v>
      </c>
      <c r="S63" s="13">
        <v>50</v>
      </c>
    </row>
    <row r="64" spans="1:21" ht="15" thickBot="1">
      <c r="D64" s="1" t="s">
        <v>235</v>
      </c>
      <c r="E64" s="1">
        <f>U36</f>
        <v>180.75313807531379</v>
      </c>
      <c r="K64" s="22" t="s">
        <v>75</v>
      </c>
      <c r="L64" s="15">
        <f>ROUNDDOWN($S64*$L$28,0)</f>
        <v>60</v>
      </c>
      <c r="M64" s="15">
        <v>35</v>
      </c>
      <c r="N64" s="15">
        <v>24</v>
      </c>
      <c r="O64" s="15">
        <v>3</v>
      </c>
      <c r="P64" s="15">
        <f t="shared" si="41"/>
        <v>8</v>
      </c>
      <c r="Q64" s="15">
        <f t="shared" si="42"/>
        <v>280</v>
      </c>
      <c r="R64" s="15">
        <f>Q64+L64</f>
        <v>340</v>
      </c>
      <c r="S64" s="27">
        <v>60</v>
      </c>
    </row>
    <row r="65" spans="4:5">
      <c r="D65" s="1" t="s">
        <v>223</v>
      </c>
      <c r="E65" s="1">
        <f>Q37</f>
        <v>176.22377622377624</v>
      </c>
    </row>
    <row r="66" spans="4:5">
      <c r="D66" s="1" t="s">
        <v>240</v>
      </c>
      <c r="E66" s="1">
        <f>U51</f>
        <v>148.47579199043633</v>
      </c>
    </row>
    <row r="67" spans="4:5">
      <c r="D67" s="1" t="s">
        <v>239</v>
      </c>
      <c r="E67" s="1">
        <f>Q36</f>
        <v>129.34131736526948</v>
      </c>
    </row>
    <row r="68" spans="4:5">
      <c r="D68" s="1" t="s">
        <v>220</v>
      </c>
      <c r="E68" s="1">
        <f>Q34</f>
        <v>135.56485355648536</v>
      </c>
    </row>
    <row r="69" spans="4:5">
      <c r="D69" s="1" t="s">
        <v>241</v>
      </c>
      <c r="E69" s="1">
        <f>Q46</f>
        <v>103.14685314685315</v>
      </c>
    </row>
    <row r="70" spans="4:5">
      <c r="D70" s="1" t="s">
        <v>242</v>
      </c>
      <c r="E70" s="1">
        <f>Q47</f>
        <v>101.79640718562875</v>
      </c>
    </row>
    <row r="71" spans="4:5">
      <c r="D71" s="1" t="s">
        <v>243</v>
      </c>
      <c r="E71" s="1">
        <f>Q45</f>
        <v>100.418410041841</v>
      </c>
    </row>
  </sheetData>
  <mergeCells count="63">
    <mergeCell ref="I2:I3"/>
    <mergeCell ref="A1:I1"/>
    <mergeCell ref="A2:A3"/>
    <mergeCell ref="K1:S1"/>
    <mergeCell ref="K2:K3"/>
    <mergeCell ref="L2:L3"/>
    <mergeCell ref="M2:O2"/>
    <mergeCell ref="P2:R2"/>
    <mergeCell ref="S2:S3"/>
    <mergeCell ref="F2:H2"/>
    <mergeCell ref="C2:E2"/>
    <mergeCell ref="B2:B3"/>
    <mergeCell ref="K21:K23"/>
    <mergeCell ref="K28:K29"/>
    <mergeCell ref="A20:A22"/>
    <mergeCell ref="B20:G20"/>
    <mergeCell ref="A19:I19"/>
    <mergeCell ref="K20:S20"/>
    <mergeCell ref="R21:S29"/>
    <mergeCell ref="K27:Q27"/>
    <mergeCell ref="P28:Q29"/>
    <mergeCell ref="B21:D21"/>
    <mergeCell ref="E21:G21"/>
    <mergeCell ref="H20:I28"/>
    <mergeCell ref="A26:G26"/>
    <mergeCell ref="F32:H32"/>
    <mergeCell ref="C32:E32"/>
    <mergeCell ref="I32:I33"/>
    <mergeCell ref="K32:K33"/>
    <mergeCell ref="E51:G51"/>
    <mergeCell ref="J32:J33"/>
    <mergeCell ref="A49:K49"/>
    <mergeCell ref="B32:B33"/>
    <mergeCell ref="A32:A33"/>
    <mergeCell ref="M32:M33"/>
    <mergeCell ref="L21:Q21"/>
    <mergeCell ref="L22:N22"/>
    <mergeCell ref="O22:Q22"/>
    <mergeCell ref="N28:N29"/>
    <mergeCell ref="M57:T57"/>
    <mergeCell ref="M49:U49"/>
    <mergeCell ref="A27:A28"/>
    <mergeCell ref="R45:T47"/>
    <mergeCell ref="R32:T32"/>
    <mergeCell ref="M31:T31"/>
    <mergeCell ref="N32:N33"/>
    <mergeCell ref="O32:Q32"/>
    <mergeCell ref="A56:K56"/>
    <mergeCell ref="H50:K55"/>
    <mergeCell ref="B50:G50"/>
    <mergeCell ref="B51:D51"/>
    <mergeCell ref="A57:A58"/>
    <mergeCell ref="D27:G28"/>
    <mergeCell ref="I57:K58"/>
    <mergeCell ref="A31:K31"/>
    <mergeCell ref="Z34:Z35"/>
    <mergeCell ref="Z36:Z37"/>
    <mergeCell ref="Z38:Z39"/>
    <mergeCell ref="Z1:AH1"/>
    <mergeCell ref="Z27:AA27"/>
    <mergeCell ref="Z28:Z29"/>
    <mergeCell ref="Z30:Z31"/>
    <mergeCell ref="Z32:Z33"/>
  </mergeCells>
  <phoneticPr fontId="1"/>
  <pageMargins left="0.25" right="0.25" top="0.75" bottom="0.75" header="0.3" footer="0.3"/>
  <pageSetup paperSize="8" orientation="landscape" r:id="rId1"/>
  <ignoredErrors>
    <ignoredError sqref="N40" formula="1"/>
  </ignoredErrors>
  <webPublishItems count="2">
    <webPublishItem id="23448" divId="計算_23448" sourceType="range" sourceRef="A1:I28" destinationFile="Z:\tomotaka.h\Krull's Lab．\記事更新関係\黒魔道士patch3.0\計算.htm"/>
    <webPublishItem id="26007" divId="計算_26007" sourceType="range" sourceRef="M31:T47" destinationFile="Z:\tomotaka.h\Krull's Lab．\記事更新関係\黒魔道士patch3.0\計算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9"/>
  <sheetViews>
    <sheetView workbookViewId="0">
      <selection activeCell="H45" sqref="H45"/>
    </sheetView>
  </sheetViews>
  <sheetFormatPr defaultRowHeight="14.25"/>
  <cols>
    <col min="1" max="1" width="4.5" style="58" bestFit="1" customWidth="1"/>
    <col min="2" max="2" width="6.875" style="80" bestFit="1" customWidth="1"/>
    <col min="3" max="3" width="7.75" style="58" bestFit="1" customWidth="1"/>
    <col min="4" max="4" width="9" style="40"/>
    <col min="5" max="5" width="5.875" style="56" bestFit="1" customWidth="1"/>
    <col min="6" max="6" width="6.375" style="56" bestFit="1" customWidth="1"/>
    <col min="7" max="7" width="6.375" style="56" customWidth="1"/>
    <col min="8" max="8" width="9.125" style="61" bestFit="1" customWidth="1"/>
    <col min="9" max="9" width="9.125" style="56" bestFit="1" customWidth="1"/>
    <col min="10" max="10" width="7.875" style="61" bestFit="1" customWidth="1"/>
    <col min="11" max="12" width="7" style="56" bestFit="1" customWidth="1"/>
    <col min="13" max="13" width="7.875" style="61" bestFit="1" customWidth="1"/>
    <col min="14" max="14" width="6.875" style="56" bestFit="1" customWidth="1"/>
    <col min="15" max="15" width="7.875" style="56" bestFit="1" customWidth="1"/>
    <col min="16" max="16" width="6.875" style="61" customWidth="1"/>
    <col min="17" max="18" width="6.875" style="56" customWidth="1"/>
    <col min="19" max="19" width="9.125" style="61" bestFit="1" customWidth="1"/>
    <col min="20" max="20" width="6.875" style="56" bestFit="1" customWidth="1"/>
    <col min="21" max="21" width="7.875" style="71" bestFit="1" customWidth="1"/>
    <col min="22" max="23" width="9" style="43"/>
    <col min="24" max="24" width="9.25" style="46" bestFit="1" customWidth="1"/>
    <col min="25" max="16384" width="9" style="3"/>
  </cols>
  <sheetData>
    <row r="1" spans="1:27">
      <c r="D1" s="40" t="s">
        <v>113</v>
      </c>
      <c r="E1" s="51">
        <f>Sheet1!E58</f>
        <v>2.39</v>
      </c>
      <c r="F1" s="52">
        <f>Sheet1!G58</f>
        <v>2.0299999999999998</v>
      </c>
      <c r="G1" s="53" t="s">
        <v>114</v>
      </c>
      <c r="H1" s="62">
        <v>254</v>
      </c>
      <c r="I1" s="63" t="s">
        <v>115</v>
      </c>
      <c r="J1" s="62">
        <f>3</f>
        <v>3</v>
      </c>
      <c r="K1" s="56" t="s">
        <v>126</v>
      </c>
      <c r="L1" s="56">
        <v>5</v>
      </c>
      <c r="M1" s="64">
        <f>H1+J1+L1</f>
        <v>262</v>
      </c>
      <c r="N1" s="299"/>
      <c r="O1" s="298"/>
      <c r="P1" s="298"/>
      <c r="Q1" s="298" t="s">
        <v>116</v>
      </c>
      <c r="R1" s="298"/>
      <c r="S1" s="62">
        <v>12.5</v>
      </c>
      <c r="T1" s="65" t="s">
        <v>117</v>
      </c>
      <c r="U1" s="66">
        <v>884</v>
      </c>
      <c r="V1" s="43" t="s">
        <v>118</v>
      </c>
      <c r="W1" s="43">
        <v>242</v>
      </c>
      <c r="X1" s="49">
        <f>ROUNDDOWN(X3*0.3,0)</f>
        <v>3451</v>
      </c>
      <c r="Y1" s="3" t="s">
        <v>123</v>
      </c>
    </row>
    <row r="2" spans="1:27">
      <c r="D2" s="304" t="s">
        <v>32</v>
      </c>
      <c r="E2" s="305"/>
      <c r="F2" s="305"/>
      <c r="G2" s="306"/>
      <c r="H2" s="300" t="s">
        <v>112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  <c r="V2" s="303"/>
      <c r="W2" s="303"/>
      <c r="X2" s="50">
        <v>7033</v>
      </c>
      <c r="Y2" s="3" t="s">
        <v>124</v>
      </c>
    </row>
    <row r="3" spans="1:27">
      <c r="A3" s="59" t="s">
        <v>33</v>
      </c>
      <c r="B3" s="81" t="s">
        <v>45</v>
      </c>
      <c r="C3" s="59" t="s">
        <v>127</v>
      </c>
      <c r="D3" s="41" t="s">
        <v>107</v>
      </c>
      <c r="E3" s="54" t="s">
        <v>108</v>
      </c>
      <c r="F3" s="54" t="s">
        <v>120</v>
      </c>
      <c r="G3" s="54"/>
      <c r="H3" s="67" t="s">
        <v>107</v>
      </c>
      <c r="I3" s="54" t="s">
        <v>109</v>
      </c>
      <c r="J3" s="67" t="s">
        <v>107</v>
      </c>
      <c r="K3" s="54" t="s">
        <v>109</v>
      </c>
      <c r="L3" s="54" t="s">
        <v>119</v>
      </c>
      <c r="M3" s="67" t="s">
        <v>107</v>
      </c>
      <c r="N3" s="54" t="s">
        <v>109</v>
      </c>
      <c r="O3" s="54" t="s">
        <v>119</v>
      </c>
      <c r="P3" s="67" t="s">
        <v>107</v>
      </c>
      <c r="Q3" s="54" t="s">
        <v>109</v>
      </c>
      <c r="R3" s="54" t="s">
        <v>119</v>
      </c>
      <c r="S3" s="67" t="s">
        <v>107</v>
      </c>
      <c r="T3" s="54" t="s">
        <v>108</v>
      </c>
      <c r="U3" s="68" t="s">
        <v>119</v>
      </c>
      <c r="V3" s="45" t="s">
        <v>110</v>
      </c>
      <c r="W3" s="45" t="s">
        <v>111</v>
      </c>
      <c r="X3" s="47">
        <f>U1*S1+ROUNDDOWN(((M1-W1)/W1/2*U1*S1),0)</f>
        <v>11506</v>
      </c>
      <c r="Y3" s="3" t="s">
        <v>143</v>
      </c>
      <c r="Z3" s="3" t="s">
        <v>142</v>
      </c>
    </row>
    <row r="4" spans="1:27">
      <c r="C4" s="58">
        <v>0</v>
      </c>
      <c r="D4" s="42"/>
      <c r="E4" s="55"/>
      <c r="F4" s="55"/>
      <c r="G4" s="55"/>
      <c r="H4" s="69"/>
      <c r="I4" s="55"/>
      <c r="J4" s="69"/>
      <c r="K4" s="55"/>
      <c r="L4" s="55"/>
      <c r="M4" s="69"/>
      <c r="N4" s="55"/>
      <c r="O4" s="55"/>
      <c r="P4" s="69"/>
      <c r="Q4" s="55"/>
      <c r="R4" s="55"/>
      <c r="S4" s="69"/>
      <c r="T4" s="55"/>
      <c r="U4" s="70"/>
      <c r="V4" s="44" t="str">
        <f>IF(H3="AFIII",VLOOKUP(D4,Sheet1!$A$4:$H$18,5,FALSE),IF(H3="UBIII",VLOOKUP(D4,Sheet1!$A$4:$H$18,8,FALSE),IF(H3="",VLOOKUP(D4,Sheet1!$A$4:$H$18,2,FALSE),"0")))</f>
        <v>0</v>
      </c>
      <c r="W4" s="44">
        <f>IF(H4="UBIII",$X$2,0)</f>
        <v>0</v>
      </c>
      <c r="X4" s="48">
        <f>IF(D4="フレア",IF(M4="コンバート",$X$1,0),IF(X3-V4+W4&gt;$X$3,$X$3-V4,X3-V4+W4))</f>
        <v>11506</v>
      </c>
      <c r="Y4" s="3" t="str">
        <f>IF(X3-V4&lt;0,"ERROR","SUCCESS")</f>
        <v>SUCCESS</v>
      </c>
      <c r="AA4" s="3" t="s">
        <v>134</v>
      </c>
    </row>
    <row r="5" spans="1:27">
      <c r="A5" s="58">
        <f>IF(H4="AFIII",VLOOKUP(D5,Sheet1!$K$4:$S$19,5,FALSE),IF(H4="UBIII",VLOOKUP(D5,Sheet1!$K$4:$S$19,8,FALSE),VLOOKUP(D5,Sheet1!$K$4:$S$19,2,FALSE)))</f>
        <v>240</v>
      </c>
      <c r="B5" s="80">
        <f>B4+A5</f>
        <v>240</v>
      </c>
      <c r="C5" s="60">
        <f t="shared" ref="C5:C45" si="0">C4+G5</f>
        <v>3.34</v>
      </c>
      <c r="D5" s="40" t="s">
        <v>4</v>
      </c>
      <c r="E5" s="56">
        <f>IF(H4="AFIII",VLOOKUP($D5,Sheet1!$A$34:$K$48,5,FALSE),IF(H4="UBIII",VLOOKUP($D5,Sheet1!$A$34:$K$48,8,FALSE),VLOOKUP($D5,Sheet1!$A$34:$K$48,2,FALSE)))</f>
        <v>3.34</v>
      </c>
      <c r="F5" s="56">
        <f>ROUNDDOWN((IF(H4="AFIII",VLOOKUP($D5,Sheet1!$A$34:$K$48,5,FALSE),IF(H4="UBIII",VLOOKUP($D5,Sheet1!$A$34:$K$48,8,FALSE),VLOOKUP($D5,Sheet1!$A$34:$K$48,2,FALSE))))*0.85,2)</f>
        <v>2.83</v>
      </c>
      <c r="G5" s="56">
        <f>IF(M4="迅速",IF(S4="黒魔紋",$F$1,$E$1),IF(S4="黒魔紋",IF(F5&lt;$F$1,$F$1,F5),IF(E5&lt;$E$1,$E$1,E5)))</f>
        <v>3.34</v>
      </c>
      <c r="H5" s="61" t="s">
        <v>84</v>
      </c>
      <c r="I5" s="56">
        <v>10</v>
      </c>
      <c r="V5" s="44">
        <f>IF(H4="AFIII",VLOOKUP(D5,Sheet1!$A$4:$H$18,5,FALSE),IF(H4="UBIII",VLOOKUP(D5,Sheet1!$A$4:$H$18,8,FALSE),IF(H4="",VLOOKUP(D5,Sheet1!$A$4:$H$18,2,FALSE),"0")))</f>
        <v>1768</v>
      </c>
      <c r="W5" s="44">
        <f>IF(H4="UBIII",$X$2,0)</f>
        <v>0</v>
      </c>
      <c r="X5" s="48">
        <f t="shared" ref="X5" si="1">IF(D5="フレア",IF(M5="コンバート",$X$1,0),IF(X4-V5+W5&gt;$X$3,$X$3-V5,X4-V5+W5))</f>
        <v>9738</v>
      </c>
      <c r="Y5" s="3" t="str">
        <f t="shared" ref="Y5" si="2">IF(X4-V5&lt;0,"ERROR","SUCCESS")</f>
        <v>SUCCESS</v>
      </c>
      <c r="Z5" s="3" t="str">
        <f t="shared" ref="Z5" si="3">IF(K4-G5&lt;0,"ERROR","SUCCESS")</f>
        <v>ERROR</v>
      </c>
      <c r="AA5" s="3" t="s">
        <v>132</v>
      </c>
    </row>
    <row r="6" spans="1:27">
      <c r="A6" s="58">
        <f>IF(H5="AFIII",VLOOKUP(D6,Sheet1!$K$4:$S$19,5,FALSE),IF(H5="UBIII",VLOOKUP(D6,Sheet1!$K$4:$S$19,8,FALSE),VLOOKUP(D6,Sheet1!$K$4:$S$19,2,FALSE)))</f>
        <v>496.8</v>
      </c>
      <c r="B6" s="80">
        <f t="shared" ref="B6:B69" si="4">B5+A6</f>
        <v>736.8</v>
      </c>
      <c r="C6" s="60">
        <f t="shared" si="0"/>
        <v>6.6859999999999999</v>
      </c>
      <c r="D6" s="40" t="s">
        <v>128</v>
      </c>
      <c r="E6" s="56">
        <f>IF(H5="AFIII",VLOOKUP($D6,Sheet1!$A$34:$K$48,5,FALSE),IF(H5="UBIII",VLOOKUP($D6,Sheet1!$A$34:$K$48,8,FALSE),VLOOKUP($D6,Sheet1!$A$34:$K$48,2,FALSE)))</f>
        <v>3.3460000000000001</v>
      </c>
      <c r="F6" s="56">
        <f>ROUNDDOWN((IF(H5="AFIII",VLOOKUP($D6,Sheet1!$A$34:$K$48,5,FALSE),IF(H5="UBIII",VLOOKUP($D6,Sheet1!$A$34:$K$48,8,FALSE),VLOOKUP($D6,Sheet1!$A$34:$K$48,2,FALSE))))*0.85,2)</f>
        <v>2.84</v>
      </c>
      <c r="G6" s="56">
        <f t="shared" ref="G6:G69" si="5">IF(M5="迅速",IF(S5="黒魔紋",$F$1,$E$1),IF(S5="黒魔紋",IF(F6&lt;$F$1,$F$1,F6),IF(E6&lt;$E$1,$E$1,E6)))</f>
        <v>3.3460000000000001</v>
      </c>
      <c r="H6" s="61" t="s">
        <v>84</v>
      </c>
      <c r="I6" s="56">
        <v>10</v>
      </c>
      <c r="V6" s="44">
        <f>IF(H5="AFIII",VLOOKUP(D6,Sheet1!$A$4:$H$18,5,FALSE),IF(H5="UBIII",VLOOKUP(D6,Sheet1!$A$4:$H$18,8,FALSE),IF(H5="",VLOOKUP(D6,Sheet1!$A$4:$H$18,2,FALSE),"0")))</f>
        <v>2120</v>
      </c>
      <c r="W6" s="44">
        <f t="shared" ref="W6:W14" si="6">IF(H5="UBIII",$X$2,0)</f>
        <v>0</v>
      </c>
      <c r="X6" s="48">
        <f t="shared" ref="X6:X14" si="7">IF(D6="フレア",IF(M6="コンバート",$X$1,0),IF(X5-V6+W6&gt;$X$3,$X$3-V6,X5-V6+W6))</f>
        <v>7618</v>
      </c>
      <c r="Y6" s="3" t="str">
        <f t="shared" ref="Y6:Y14" si="8">IF(X5-V6&lt;0,"ERROR","SUCCESS")</f>
        <v>SUCCESS</v>
      </c>
      <c r="Z6" s="3" t="str">
        <f t="shared" ref="Z6:Z14" si="9">IF(K5-G6&lt;0,"ERROR","SUCCESS")</f>
        <v>ERROR</v>
      </c>
    </row>
    <row r="7" spans="1:27">
      <c r="A7" s="58">
        <f>IF(H6="AFIII",VLOOKUP(D7,Sheet1!$K$4:$S$19,5,FALSE),IF(H6="UBIII",VLOOKUP(D7,Sheet1!$K$4:$S$19,8,FALSE),VLOOKUP(D7,Sheet1!$K$4:$S$19,2,FALSE)))</f>
        <v>496.8</v>
      </c>
      <c r="B7" s="80">
        <f t="shared" si="4"/>
        <v>1233.5999999999999</v>
      </c>
      <c r="C7" s="60">
        <f t="shared" si="0"/>
        <v>10.032</v>
      </c>
      <c r="D7" s="40" t="s">
        <v>128</v>
      </c>
      <c r="E7" s="56">
        <f>IF(H6="AFIII",VLOOKUP($D7,Sheet1!$A$34:$K$48,5,FALSE),IF(H6="UBIII",VLOOKUP($D7,Sheet1!$A$34:$K$48,8,FALSE),VLOOKUP($D7,Sheet1!$A$34:$K$48,2,FALSE)))</f>
        <v>3.3460000000000001</v>
      </c>
      <c r="F7" s="56">
        <f>ROUNDDOWN((IF(H6="AFIII",VLOOKUP($D7,Sheet1!$A$34:$K$48,5,FALSE),IF(H6="UBIII",VLOOKUP($D7,Sheet1!$A$34:$K$48,8,FALSE),VLOOKUP($D7,Sheet1!$A$34:$K$48,2,FALSE))))*0.85,2)</f>
        <v>2.84</v>
      </c>
      <c r="G7" s="56">
        <f t="shared" si="5"/>
        <v>3.3460000000000001</v>
      </c>
      <c r="H7" s="61" t="s">
        <v>84</v>
      </c>
      <c r="I7" s="56">
        <v>10</v>
      </c>
      <c r="V7" s="44">
        <f>IF(H6="AFIII",VLOOKUP(D7,Sheet1!$A$4:$H$18,5,FALSE),IF(H6="UBIII",VLOOKUP(D7,Sheet1!$A$4:$H$18,8,FALSE),IF(H6="",VLOOKUP(D7,Sheet1!$A$4:$H$18,2,FALSE),"0")))</f>
        <v>2120</v>
      </c>
      <c r="W7" s="44">
        <f t="shared" si="6"/>
        <v>0</v>
      </c>
      <c r="X7" s="48">
        <f t="shared" si="7"/>
        <v>5498</v>
      </c>
      <c r="Y7" s="3" t="str">
        <f t="shared" si="8"/>
        <v>SUCCESS</v>
      </c>
      <c r="Z7" s="3" t="str">
        <f t="shared" si="9"/>
        <v>ERROR</v>
      </c>
    </row>
    <row r="8" spans="1:27">
      <c r="A8" s="58">
        <f>IF(H7="AFIII",VLOOKUP(D8,Sheet1!$K$4:$S$19,5,FALSE),IF(H7="UBIII",VLOOKUP(D8,Sheet1!$K$4:$S$19,8,FALSE),VLOOKUP(D8,Sheet1!$K$4:$S$19,2,FALSE)))</f>
        <v>496.8</v>
      </c>
      <c r="B8" s="80">
        <f t="shared" si="4"/>
        <v>1730.3999999999999</v>
      </c>
      <c r="C8" s="60">
        <f t="shared" si="0"/>
        <v>13.378</v>
      </c>
      <c r="D8" s="40" t="s">
        <v>128</v>
      </c>
      <c r="E8" s="56">
        <f>IF(H7="AFIII",VLOOKUP($D8,Sheet1!$A$34:$K$48,5,FALSE),IF(H7="UBIII",VLOOKUP($D8,Sheet1!$A$34:$K$48,8,FALSE),VLOOKUP($D8,Sheet1!$A$34:$K$48,2,FALSE)))</f>
        <v>3.3460000000000001</v>
      </c>
      <c r="F8" s="56">
        <f>ROUNDDOWN((IF(H7="AFIII",VLOOKUP($D8,Sheet1!$A$34:$K$48,5,FALSE),IF(H7="UBIII",VLOOKUP($D8,Sheet1!$A$34:$K$48,8,FALSE),VLOOKUP($D8,Sheet1!$A$34:$K$48,2,FALSE))))*0.85,2)</f>
        <v>2.84</v>
      </c>
      <c r="G8" s="56">
        <f t="shared" si="5"/>
        <v>3.3460000000000001</v>
      </c>
      <c r="H8" s="61" t="s">
        <v>84</v>
      </c>
      <c r="I8" s="56">
        <v>10</v>
      </c>
      <c r="V8" s="44">
        <f>IF(H7="AFIII",VLOOKUP(D8,Sheet1!$A$4:$H$18,5,FALSE),IF(H7="UBIII",VLOOKUP(D8,Sheet1!$A$4:$H$18,8,FALSE),IF(H7="",VLOOKUP(D8,Sheet1!$A$4:$H$18,2,FALSE),"0")))</f>
        <v>2120</v>
      </c>
      <c r="W8" s="44">
        <f t="shared" si="6"/>
        <v>0</v>
      </c>
      <c r="X8" s="48">
        <f t="shared" si="7"/>
        <v>3378</v>
      </c>
      <c r="Y8" s="3" t="str">
        <f t="shared" si="8"/>
        <v>SUCCESS</v>
      </c>
      <c r="Z8" s="3" t="str">
        <f t="shared" si="9"/>
        <v>ERROR</v>
      </c>
    </row>
    <row r="9" spans="1:27">
      <c r="A9" s="58">
        <f>IF(H8="AFIII",VLOOKUP(D9,Sheet1!$K$4:$S$19,5,FALSE),IF(H8="UBIII",VLOOKUP(D9,Sheet1!$K$4:$S$19,8,FALSE),VLOOKUP(D9,Sheet1!$K$4:$S$19,2,FALSE)))</f>
        <v>168</v>
      </c>
      <c r="B9" s="80">
        <f t="shared" si="4"/>
        <v>1898.3999999999999</v>
      </c>
      <c r="C9" s="60">
        <f t="shared" si="0"/>
        <v>15.768000000000001</v>
      </c>
      <c r="D9" s="40" t="s">
        <v>12</v>
      </c>
      <c r="E9" s="56">
        <f>IF(H8="AFIII",VLOOKUP($D9,Sheet1!$A$34:$K$48,5,FALSE),IF(H8="UBIII",VLOOKUP($D9,Sheet1!$A$34:$K$48,8,FALSE),VLOOKUP($D9,Sheet1!$A$34:$K$48,2,FALSE)))</f>
        <v>1.67</v>
      </c>
      <c r="F9" s="56">
        <f>ROUNDDOWN((IF(H8="AFIII",VLOOKUP($D9,Sheet1!$A$34:$K$48,5,FALSE),IF(H8="UBIII",VLOOKUP($D9,Sheet1!$A$34:$K$48,8,FALSE),VLOOKUP($D9,Sheet1!$A$34:$K$48,2,FALSE))))*0.85,2)</f>
        <v>1.41</v>
      </c>
      <c r="G9" s="56">
        <f t="shared" si="5"/>
        <v>2.39</v>
      </c>
      <c r="H9" s="61" t="s">
        <v>122</v>
      </c>
      <c r="I9" s="56">
        <v>10</v>
      </c>
      <c r="V9" s="44">
        <f>IF(H8="AFIII",VLOOKUP(D9,Sheet1!$A$4:$H$18,5,FALSE),IF(H8="UBIII",VLOOKUP(D9,Sheet1!$A$4:$H$18,8,FALSE),IF(H8="",VLOOKUP(D9,Sheet1!$A$4:$H$18,2,FALSE),"0")))</f>
        <v>265</v>
      </c>
      <c r="W9" s="44">
        <f t="shared" si="6"/>
        <v>0</v>
      </c>
      <c r="X9" s="48">
        <f t="shared" si="7"/>
        <v>3113</v>
      </c>
      <c r="Y9" s="3" t="str">
        <f t="shared" si="8"/>
        <v>SUCCESS</v>
      </c>
      <c r="Z9" s="3" t="str">
        <f t="shared" si="9"/>
        <v>ERROR</v>
      </c>
    </row>
    <row r="10" spans="1:27">
      <c r="A10" s="58">
        <f>IF(H9="AFIII",VLOOKUP(D10,Sheet1!$K$4:$S$19,5,FALSE),IF(H9="UBIII",VLOOKUP(D10,Sheet1!$K$4:$S$19,8,FALSE),VLOOKUP(D10,Sheet1!$K$4:$S$19,2,FALSE)))</f>
        <v>340</v>
      </c>
      <c r="B10" s="80">
        <f t="shared" si="4"/>
        <v>2238.3999999999996</v>
      </c>
      <c r="C10" s="60">
        <f t="shared" si="0"/>
        <v>19.108000000000001</v>
      </c>
      <c r="D10" s="40" t="s">
        <v>21</v>
      </c>
      <c r="E10" s="56">
        <f>IF(H9="AFIII",VLOOKUP($D10,Sheet1!$A$34:$K$48,5,FALSE),IF(H9="UBIII",VLOOKUP($D10,Sheet1!$A$34:$K$48,8,FALSE),VLOOKUP($D10,Sheet1!$A$34:$K$48,2,FALSE)))</f>
        <v>3.34</v>
      </c>
      <c r="F10" s="56">
        <f>ROUNDDOWN((IF(H9="AFIII",VLOOKUP($D10,Sheet1!$A$34:$K$48,5,FALSE),IF(H9="UBIII",VLOOKUP($D10,Sheet1!$A$34:$K$48,8,FALSE),VLOOKUP($D10,Sheet1!$A$34:$K$48,2,FALSE))))*0.85,2)</f>
        <v>2.83</v>
      </c>
      <c r="G10" s="56">
        <f t="shared" si="5"/>
        <v>3.34</v>
      </c>
      <c r="H10" s="61" t="s">
        <v>122</v>
      </c>
      <c r="I10" s="56">
        <v>10</v>
      </c>
      <c r="P10" s="61" t="s">
        <v>17</v>
      </c>
      <c r="Q10" s="56">
        <v>24</v>
      </c>
      <c r="V10" s="44">
        <f>IF(H9="AFIII",VLOOKUP(D10,Sheet1!$A$4:$H$18,5,FALSE),IF(H9="UBIII",VLOOKUP(D10,Sheet1!$A$4:$H$18,8,FALSE),IF(H9="",VLOOKUP(D10,Sheet1!$A$4:$H$18,2,FALSE),"0")))</f>
        <v>1414</v>
      </c>
      <c r="W10" s="44">
        <f t="shared" si="6"/>
        <v>7033</v>
      </c>
      <c r="X10" s="48">
        <f t="shared" si="7"/>
        <v>8732</v>
      </c>
      <c r="Y10" s="3" t="str">
        <f t="shared" si="8"/>
        <v>SUCCESS</v>
      </c>
      <c r="Z10" s="3" t="str">
        <f t="shared" si="9"/>
        <v>ERROR</v>
      </c>
    </row>
    <row r="11" spans="1:27">
      <c r="A11" s="58">
        <f>IF(H10="AFIII",VLOOKUP(D11,Sheet1!$K$4:$S$19,5,FALSE),IF(H10="UBIII",VLOOKUP(D11,Sheet1!$K$4:$S$19,8,FALSE),VLOOKUP(D11,Sheet1!$K$4:$S$19,2,FALSE)))</f>
        <v>168</v>
      </c>
      <c r="B11" s="80">
        <f t="shared" si="4"/>
        <v>2406.3999999999996</v>
      </c>
      <c r="C11" s="60">
        <f t="shared" si="0"/>
        <v>21.498000000000001</v>
      </c>
      <c r="D11" s="40" t="s">
        <v>4</v>
      </c>
      <c r="E11" s="56">
        <f>IF(H10="AFIII",VLOOKUP($D11,Sheet1!$A$34:$K$48,5,FALSE),IF(H10="UBIII",VLOOKUP($D11,Sheet1!$A$34:$K$48,8,FALSE),VLOOKUP($D11,Sheet1!$A$34:$K$48,2,FALSE)))</f>
        <v>1.67</v>
      </c>
      <c r="F11" s="56">
        <f>ROUNDDOWN((IF(H10="AFIII",VLOOKUP($D11,Sheet1!$A$34:$K$48,5,FALSE),IF(H10="UBIII",VLOOKUP($D11,Sheet1!$A$34:$K$48,8,FALSE),VLOOKUP($D11,Sheet1!$A$34:$K$48,2,FALSE))))*0.85,2)</f>
        <v>1.41</v>
      </c>
      <c r="G11" s="56">
        <f t="shared" si="5"/>
        <v>2.39</v>
      </c>
      <c r="H11" s="61" t="s">
        <v>84</v>
      </c>
      <c r="I11" s="56">
        <v>10</v>
      </c>
      <c r="J11" s="61" t="s">
        <v>105</v>
      </c>
      <c r="K11" s="56">
        <v>30</v>
      </c>
      <c r="L11" s="56">
        <v>90</v>
      </c>
      <c r="M11" s="61" t="s">
        <v>96</v>
      </c>
      <c r="N11" s="56">
        <v>20</v>
      </c>
      <c r="O11" s="56">
        <v>180</v>
      </c>
      <c r="Q11" s="56">
        <f>Q10-G11</f>
        <v>21.61</v>
      </c>
      <c r="V11" s="44">
        <f>IF(H10="AFIII",VLOOKUP(D11,Sheet1!$A$4:$H$18,5,FALSE),IF(H10="UBIII",VLOOKUP(D11,Sheet1!$A$4:$H$18,8,FALSE),IF(H10="",VLOOKUP(D11,Sheet1!$A$4:$H$18,2,FALSE),"0")))</f>
        <v>442</v>
      </c>
      <c r="W11" s="44">
        <f t="shared" si="6"/>
        <v>7033</v>
      </c>
      <c r="X11" s="48">
        <f t="shared" si="7"/>
        <v>11064</v>
      </c>
      <c r="Y11" s="3" t="str">
        <f t="shared" si="8"/>
        <v>SUCCESS</v>
      </c>
      <c r="Z11" s="3" t="str">
        <f t="shared" si="9"/>
        <v>ERROR</v>
      </c>
    </row>
    <row r="12" spans="1:27">
      <c r="A12" s="58">
        <f>IF(H11="AFIII",VLOOKUP(D12,Sheet1!$K$4:$S$19,5,FALSE),IF(H11="UBIII",VLOOKUP(D12,Sheet1!$K$4:$S$19,8,FALSE),VLOOKUP(D12,Sheet1!$K$4:$S$19,2,FALSE)))</f>
        <v>504</v>
      </c>
      <c r="B12" s="80">
        <f t="shared" si="4"/>
        <v>2910.3999999999996</v>
      </c>
      <c r="C12" s="60">
        <f t="shared" si="0"/>
        <v>24.358000000000001</v>
      </c>
      <c r="D12" s="40" t="s">
        <v>66</v>
      </c>
      <c r="E12" s="56">
        <f>IF(H11="AFIII",VLOOKUP($D12,Sheet1!$A$34:$K$48,5,FALSE),IF(H11="UBIII",VLOOKUP($D12,Sheet1!$A$34:$K$48,8,FALSE),VLOOKUP($D12,Sheet1!$A$34:$K$48,2,FALSE)))</f>
        <v>2.86</v>
      </c>
      <c r="F12" s="56">
        <f>ROUNDDOWN((IF(H11="AFIII",VLOOKUP($D12,Sheet1!$A$34:$K$48,5,FALSE),IF(H11="UBIII",VLOOKUP($D12,Sheet1!$A$34:$K$48,8,FALSE),VLOOKUP($D12,Sheet1!$A$34:$K$48,2,FALSE))))*0.85,2)</f>
        <v>2.4300000000000002</v>
      </c>
      <c r="G12" s="56">
        <f>IF(M11="迅速",IF(S11="黒魔紋",$F$1,$E$1),IF(S11="黒魔紋",IF(F12&lt;$F$1,$F$1,F12),IF(E12&lt;$E$1,$E$1,E12)))</f>
        <v>2.86</v>
      </c>
      <c r="H12" s="61" t="s">
        <v>84</v>
      </c>
      <c r="I12" s="56">
        <f>I11-G12</f>
        <v>7.1400000000000006</v>
      </c>
      <c r="K12" s="56">
        <f>K11-G12</f>
        <v>27.14</v>
      </c>
      <c r="L12" s="56">
        <f>L11-G12</f>
        <v>87.14</v>
      </c>
      <c r="N12" s="56">
        <f>N11-G12</f>
        <v>17.14</v>
      </c>
      <c r="Q12" s="56">
        <f t="shared" ref="Q12:Q21" si="10">Q11-G12</f>
        <v>18.75</v>
      </c>
      <c r="S12" s="61" t="s">
        <v>87</v>
      </c>
      <c r="T12" s="56">
        <v>30</v>
      </c>
      <c r="U12" s="71">
        <v>90</v>
      </c>
      <c r="V12" s="44">
        <f>IF(H11="AFIII",VLOOKUP(D12,Sheet1!$A$4:$H$18,5,FALSE),IF(H11="UBIII",VLOOKUP(D12,Sheet1!$A$4:$H$18,8,FALSE),IF(H11="",VLOOKUP(D12,Sheet1!$A$4:$H$18,2,FALSE),"0")))</f>
        <v>1768</v>
      </c>
      <c r="W12" s="44">
        <f t="shared" si="6"/>
        <v>0</v>
      </c>
      <c r="X12" s="48">
        <f t="shared" si="7"/>
        <v>9296</v>
      </c>
      <c r="Y12" s="3" t="str">
        <f t="shared" si="8"/>
        <v>SUCCESS</v>
      </c>
      <c r="Z12" s="3" t="str">
        <f t="shared" si="9"/>
        <v>SUCCESS</v>
      </c>
    </row>
    <row r="13" spans="1:27">
      <c r="A13" s="58">
        <f>IF(H12="AFIII",VLOOKUP(D13,Sheet1!$K$4:$S$19,5,FALSE),IF(H12="UBIII",VLOOKUP(D13,Sheet1!$K$4:$S$19,8,FALSE),VLOOKUP(D13,Sheet1!$K$4:$S$19,2,FALSE)))</f>
        <v>504</v>
      </c>
      <c r="B13" s="80">
        <f t="shared" si="4"/>
        <v>3414.3999999999996</v>
      </c>
      <c r="C13" s="60">
        <f t="shared" si="0"/>
        <v>26.788</v>
      </c>
      <c r="D13" s="40" t="s">
        <v>6</v>
      </c>
      <c r="E13" s="56">
        <f>IF(H12="AFIII",VLOOKUP($D13,Sheet1!$A$34:$K$48,5,FALSE),IF(H12="UBIII",VLOOKUP($D13,Sheet1!$A$34:$K$48,8,FALSE),VLOOKUP($D13,Sheet1!$A$34:$K$48,2,FALSE)))</f>
        <v>2.86</v>
      </c>
      <c r="F13" s="56">
        <f>ROUNDDOWN((IF(H12="AFIII",VLOOKUP($D13,Sheet1!$A$34:$K$48,5,FALSE),IF(H12="UBIII",VLOOKUP($D13,Sheet1!$A$34:$K$48,8,FALSE),VLOOKUP($D13,Sheet1!$A$34:$K$48,2,FALSE))))*0.85,2)</f>
        <v>2.4300000000000002</v>
      </c>
      <c r="G13" s="56">
        <f t="shared" si="5"/>
        <v>2.4300000000000002</v>
      </c>
      <c r="H13" s="61" t="s">
        <v>84</v>
      </c>
      <c r="I13" s="56">
        <f t="shared" ref="I13" si="11">I12-G13</f>
        <v>4.7100000000000009</v>
      </c>
      <c r="K13" s="56">
        <f t="shared" ref="K13:K16" si="12">K12-G13</f>
        <v>24.71</v>
      </c>
      <c r="L13" s="56">
        <f t="shared" ref="L13:L16" si="13">L12-G13</f>
        <v>84.71</v>
      </c>
      <c r="N13" s="56">
        <f>N12-G13</f>
        <v>14.71</v>
      </c>
      <c r="Q13" s="56">
        <f t="shared" si="10"/>
        <v>16.32</v>
      </c>
      <c r="S13" s="61" t="s">
        <v>87</v>
      </c>
      <c r="T13" s="56">
        <f>T12-G13</f>
        <v>27.57</v>
      </c>
      <c r="U13" s="71">
        <f>U12-G13</f>
        <v>87.57</v>
      </c>
      <c r="V13" s="44">
        <f>IF(H12="AFIII",VLOOKUP(D13,Sheet1!$A$4:$H$18,5,FALSE),IF(H12="UBIII",VLOOKUP(D13,Sheet1!$A$4:$H$18,8,FALSE),IF(H12="",VLOOKUP(D13,Sheet1!$A$4:$H$18,2,FALSE),"0")))</f>
        <v>1768</v>
      </c>
      <c r="W13" s="44">
        <f t="shared" si="6"/>
        <v>0</v>
      </c>
      <c r="X13" s="48">
        <f t="shared" si="7"/>
        <v>7528</v>
      </c>
      <c r="Y13" s="3" t="str">
        <f t="shared" si="8"/>
        <v>SUCCESS</v>
      </c>
      <c r="Z13" s="3" t="str">
        <f t="shared" si="9"/>
        <v>SUCCESS</v>
      </c>
    </row>
    <row r="14" spans="1:27">
      <c r="A14" s="58">
        <f>IF(H13="AFIII",VLOOKUP(D14,Sheet1!$K$4:$S$19,5,FALSE),IF(H13="UBIII",VLOOKUP(D14,Sheet1!$K$4:$S$19,8,FALSE),VLOOKUP(D14,Sheet1!$K$4:$S$19,2,FALSE)))</f>
        <v>496.8</v>
      </c>
      <c r="B14" s="80">
        <f t="shared" si="4"/>
        <v>3911.2</v>
      </c>
      <c r="C14" s="60">
        <f t="shared" si="0"/>
        <v>29.628</v>
      </c>
      <c r="D14" s="40" t="s">
        <v>128</v>
      </c>
      <c r="E14" s="56">
        <f>IF(H13="AFIII",VLOOKUP($D14,Sheet1!$A$34:$K$48,5,FALSE),IF(H13="UBIII",VLOOKUP($D14,Sheet1!$A$34:$K$48,8,FALSE),VLOOKUP($D14,Sheet1!$A$34:$K$48,2,FALSE)))</f>
        <v>3.3460000000000001</v>
      </c>
      <c r="F14" s="56">
        <f>ROUNDDOWN((IF(H13="AFIII",VLOOKUP($D14,Sheet1!$A$34:$K$48,5,FALSE),IF(H13="UBIII",VLOOKUP($D14,Sheet1!$A$34:$K$48,8,FALSE),VLOOKUP($D14,Sheet1!$A$34:$K$48,2,FALSE))))*0.85,2)</f>
        <v>2.84</v>
      </c>
      <c r="G14" s="56">
        <f t="shared" si="5"/>
        <v>2.84</v>
      </c>
      <c r="H14" s="61" t="s">
        <v>84</v>
      </c>
      <c r="I14" s="56">
        <v>10</v>
      </c>
      <c r="K14" s="56">
        <f t="shared" si="12"/>
        <v>21.87</v>
      </c>
      <c r="L14" s="56">
        <f t="shared" si="13"/>
        <v>81.86999999999999</v>
      </c>
      <c r="N14" s="56">
        <f t="shared" ref="N14" si="14">N13-G14</f>
        <v>11.870000000000001</v>
      </c>
      <c r="Q14" s="56">
        <f t="shared" si="10"/>
        <v>13.48</v>
      </c>
      <c r="S14" s="61" t="s">
        <v>87</v>
      </c>
      <c r="T14" s="56">
        <f t="shared" ref="T14:T22" si="15">T13-G14</f>
        <v>24.73</v>
      </c>
      <c r="U14" s="71">
        <f t="shared" ref="U14:U22" si="16">U13-G14</f>
        <v>84.72999999999999</v>
      </c>
      <c r="V14" s="44">
        <f>IF(H13="AFIII",VLOOKUP(D14,Sheet1!$A$4:$H$18,5,FALSE),IF(H13="UBIII",VLOOKUP(D14,Sheet1!$A$4:$H$18,8,FALSE),IF(H13="",VLOOKUP(D14,Sheet1!$A$4:$H$18,2,FALSE),"0")))</f>
        <v>2120</v>
      </c>
      <c r="W14" s="44">
        <f t="shared" si="6"/>
        <v>0</v>
      </c>
      <c r="X14" s="48">
        <f t="shared" si="7"/>
        <v>5408</v>
      </c>
      <c r="Y14" s="3" t="str">
        <f t="shared" si="8"/>
        <v>SUCCESS</v>
      </c>
      <c r="Z14" s="3" t="str">
        <f t="shared" si="9"/>
        <v>SUCCESS</v>
      </c>
    </row>
    <row r="15" spans="1:27">
      <c r="A15" s="58">
        <f>IF(H14="AFIII",VLOOKUP(D15,Sheet1!$K$4:$S$19,5,FALSE),IF(H14="UBIII",VLOOKUP(D15,Sheet1!$K$4:$S$19,8,FALSE),VLOOKUP(D15,Sheet1!$K$4:$S$19,2,FALSE)))</f>
        <v>504</v>
      </c>
      <c r="B15" s="80">
        <f t="shared" si="4"/>
        <v>4415.2</v>
      </c>
      <c r="C15" s="60">
        <f t="shared" si="0"/>
        <v>32.058</v>
      </c>
      <c r="D15" s="40" t="s">
        <v>66</v>
      </c>
      <c r="E15" s="56">
        <f>IF(H14="AFIII",VLOOKUP($D15,Sheet1!$A$34:$K$48,5,FALSE),IF(H14="UBIII",VLOOKUP($D15,Sheet1!$A$34:$K$48,8,FALSE),VLOOKUP($D15,Sheet1!$A$34:$K$48,2,FALSE)))</f>
        <v>2.86</v>
      </c>
      <c r="F15" s="56">
        <f>ROUNDDOWN((IF(H14="AFIII",VLOOKUP($D15,Sheet1!$A$34:$K$48,5,FALSE),IF(H14="UBIII",VLOOKUP($D15,Sheet1!$A$34:$K$48,8,FALSE),VLOOKUP($D15,Sheet1!$A$34:$K$48,2,FALSE))))*0.85,2)</f>
        <v>2.4300000000000002</v>
      </c>
      <c r="G15" s="56">
        <f t="shared" si="5"/>
        <v>2.4300000000000002</v>
      </c>
      <c r="H15" s="61" t="s">
        <v>84</v>
      </c>
      <c r="I15" s="56">
        <f>I14-G15</f>
        <v>7.57</v>
      </c>
      <c r="K15" s="56">
        <f>K14-G15</f>
        <v>19.440000000000001</v>
      </c>
      <c r="L15" s="56">
        <f>L14-G15</f>
        <v>79.439999999999984</v>
      </c>
      <c r="N15" s="56">
        <f>N14-G15</f>
        <v>9.4400000000000013</v>
      </c>
      <c r="Q15" s="56">
        <f t="shared" si="10"/>
        <v>11.05</v>
      </c>
      <c r="S15" s="61" t="s">
        <v>87</v>
      </c>
      <c r="T15" s="56">
        <f t="shared" si="15"/>
        <v>22.3</v>
      </c>
      <c r="U15" s="71">
        <f t="shared" si="16"/>
        <v>82.299999999999983</v>
      </c>
      <c r="V15" s="44">
        <f>IF(H14="AFIII",VLOOKUP(D15,Sheet1!$A$4:$H$18,5,FALSE),IF(H14="UBIII",VLOOKUP(D15,Sheet1!$A$4:$H$18,8,FALSE),IF(H14="",VLOOKUP(D15,Sheet1!$A$4:$H$18,2,FALSE),"0")))</f>
        <v>1768</v>
      </c>
      <c r="W15" s="44">
        <f t="shared" ref="W15:W46" si="17">IF(H14="UBIII",$X$2,0)</f>
        <v>0</v>
      </c>
      <c r="X15" s="48">
        <f t="shared" ref="X15:X46" si="18">IF(D15="フレア",IF(M15="コンバート",$X$1,0),IF(X14-V15+W15&gt;$X$3,$X$3-V15,X14-V15+W15))</f>
        <v>3640</v>
      </c>
      <c r="Y15" s="3" t="str">
        <f t="shared" ref="Y15:Y73" si="19">IF(X14-V15&lt;0,"ERROR","SUCCESS")</f>
        <v>SUCCESS</v>
      </c>
      <c r="Z15" s="3" t="str">
        <f t="shared" ref="Z15:Z73" si="20">IF(K14-G15&lt;0,"ERROR","SUCCESS")</f>
        <v>SUCCESS</v>
      </c>
    </row>
    <row r="16" spans="1:27">
      <c r="A16" s="58">
        <f>IF(H15="AFIII",VLOOKUP(D16,Sheet1!$K$4:$S$19,5,FALSE),IF(H15="UBIII",VLOOKUP(D16,Sheet1!$K$4:$S$19,8,FALSE),VLOOKUP(D16,Sheet1!$K$4:$S$19,2,FALSE)))</f>
        <v>504</v>
      </c>
      <c r="B16" s="80">
        <f t="shared" si="4"/>
        <v>4919.2</v>
      </c>
      <c r="C16" s="60">
        <f t="shared" si="0"/>
        <v>34.488</v>
      </c>
      <c r="D16" s="40" t="s">
        <v>6</v>
      </c>
      <c r="E16" s="56">
        <f>IF(H15="AFIII",VLOOKUP($D16,Sheet1!$A$34:$K$48,5,FALSE),IF(H15="UBIII",VLOOKUP($D16,Sheet1!$A$34:$K$48,8,FALSE),VLOOKUP($D16,Sheet1!$A$34:$K$48,2,FALSE)))</f>
        <v>2.86</v>
      </c>
      <c r="F16" s="56">
        <f>ROUNDDOWN((IF(H15="AFIII",VLOOKUP($D16,Sheet1!$A$34:$K$48,5,FALSE),IF(H15="UBIII",VLOOKUP($D16,Sheet1!$A$34:$K$48,8,FALSE),VLOOKUP($D16,Sheet1!$A$34:$K$48,2,FALSE))))*0.85,2)</f>
        <v>2.4300000000000002</v>
      </c>
      <c r="G16" s="56">
        <f t="shared" si="5"/>
        <v>2.4300000000000002</v>
      </c>
      <c r="H16" s="61" t="s">
        <v>125</v>
      </c>
      <c r="I16" s="56">
        <f>I15-G16</f>
        <v>5.1400000000000006</v>
      </c>
      <c r="K16" s="56">
        <f t="shared" si="12"/>
        <v>17.010000000000002</v>
      </c>
      <c r="L16" s="56">
        <f t="shared" si="13"/>
        <v>77.009999999999977</v>
      </c>
      <c r="M16" s="61" t="s">
        <v>102</v>
      </c>
      <c r="N16" s="56">
        <v>10</v>
      </c>
      <c r="O16" s="56">
        <v>60</v>
      </c>
      <c r="Q16" s="56">
        <f t="shared" si="10"/>
        <v>8.620000000000001</v>
      </c>
      <c r="S16" s="61" t="s">
        <v>87</v>
      </c>
      <c r="T16" s="56">
        <f t="shared" si="15"/>
        <v>19.87</v>
      </c>
      <c r="U16" s="71">
        <f t="shared" si="16"/>
        <v>79.869999999999976</v>
      </c>
      <c r="V16" s="44">
        <f>IF(H15="AFIII",VLOOKUP(D16,Sheet1!$A$4:$H$18,5,FALSE),IF(H15="UBIII",VLOOKUP(D16,Sheet1!$A$4:$H$18,8,FALSE),IF(H15="",VLOOKUP(D16,Sheet1!$A$4:$H$18,2,FALSE),"0")))</f>
        <v>1768</v>
      </c>
      <c r="W16" s="44">
        <f t="shared" si="17"/>
        <v>0</v>
      </c>
      <c r="X16" s="48">
        <f t="shared" si="18"/>
        <v>1872</v>
      </c>
      <c r="Y16" s="3" t="str">
        <f t="shared" si="19"/>
        <v>SUCCESS</v>
      </c>
      <c r="Z16" s="3" t="str">
        <f t="shared" si="20"/>
        <v>SUCCESS</v>
      </c>
    </row>
    <row r="17" spans="1:26">
      <c r="A17" s="58">
        <f>IF(H16="AFIII",VLOOKUP(D17,Sheet1!$K$4:$S$19,5,FALSE),IF(H16="UBIII",VLOOKUP(D17,Sheet1!$K$4:$S$19,8,FALSE),VLOOKUP(D17,Sheet1!$K$4:$S$19,2,FALSE)))</f>
        <v>468</v>
      </c>
      <c r="B17" s="80">
        <f t="shared" si="4"/>
        <v>5387.2</v>
      </c>
      <c r="C17" s="60">
        <f t="shared" si="0"/>
        <v>36.518000000000001</v>
      </c>
      <c r="D17" s="40" t="s">
        <v>10</v>
      </c>
      <c r="E17" s="56">
        <f>IF(H16="AFIII",VLOOKUP($D17,Sheet1!$A$34:$K$48,5,FALSE),IF(H16="UBIII",VLOOKUP($D17,Sheet1!$A$34:$K$48,8,FALSE),VLOOKUP($D17,Sheet1!$A$34:$K$48,2,FALSE)))</f>
        <v>3.82</v>
      </c>
      <c r="F17" s="56">
        <f>ROUNDDOWN((IF(H16="AFIII",VLOOKUP($D17,Sheet1!$A$34:$K$48,5,FALSE),IF(H16="UBIII",VLOOKUP($D17,Sheet1!$A$34:$K$48,8,FALSE),VLOOKUP($D17,Sheet1!$A$34:$K$48,2,FALSE))))*0.85,2)</f>
        <v>3.24</v>
      </c>
      <c r="G17" s="56">
        <f t="shared" si="5"/>
        <v>2.0299999999999998</v>
      </c>
      <c r="H17" s="61" t="s">
        <v>84</v>
      </c>
      <c r="I17" s="56">
        <v>10</v>
      </c>
      <c r="K17" s="56">
        <f t="shared" ref="K17:K18" si="21">K16-G17</f>
        <v>14.980000000000002</v>
      </c>
      <c r="L17" s="56">
        <f t="shared" ref="L17:L18" si="22">L16-G17</f>
        <v>74.979999999999976</v>
      </c>
      <c r="M17" s="61" t="s">
        <v>100</v>
      </c>
      <c r="N17" s="56">
        <v>0</v>
      </c>
      <c r="O17" s="56">
        <v>180</v>
      </c>
      <c r="P17" s="61" t="s">
        <v>133</v>
      </c>
      <c r="Q17" s="56">
        <f t="shared" si="10"/>
        <v>6.5900000000000016</v>
      </c>
      <c r="R17" s="56">
        <v>60</v>
      </c>
      <c r="S17" s="61" t="s">
        <v>87</v>
      </c>
      <c r="T17" s="56">
        <f t="shared" si="15"/>
        <v>17.84</v>
      </c>
      <c r="U17" s="71">
        <f t="shared" si="16"/>
        <v>77.839999999999975</v>
      </c>
      <c r="V17" s="44">
        <f>IF(H16="AFIII",VLOOKUP(D17,Sheet1!$A$4:$H$18,5,FALSE),IF(H16="UBIII",VLOOKUP(D17,Sheet1!$A$4:$H$18,8,FALSE),IF(H16="",VLOOKUP(D17,Sheet1!$A$4:$H$18,2,FALSE),"0")))</f>
        <v>884</v>
      </c>
      <c r="W17" s="44">
        <f t="shared" si="17"/>
        <v>0</v>
      </c>
      <c r="X17" s="48">
        <f t="shared" si="18"/>
        <v>3451</v>
      </c>
      <c r="Y17" s="3" t="str">
        <f t="shared" si="19"/>
        <v>SUCCESS</v>
      </c>
      <c r="Z17" s="3" t="str">
        <f t="shared" si="20"/>
        <v>SUCCESS</v>
      </c>
    </row>
    <row r="18" spans="1:26">
      <c r="A18" s="58">
        <f>IF(H17="AFIII",VLOOKUP(D18,Sheet1!$K$4:$S$19,5,FALSE),IF(H17="UBIII",VLOOKUP(D18,Sheet1!$K$4:$S$19,8,FALSE),VLOOKUP(D18,Sheet1!$K$4:$S$19,2,FALSE)))</f>
        <v>324</v>
      </c>
      <c r="B18" s="80">
        <f t="shared" si="4"/>
        <v>5711.2</v>
      </c>
      <c r="C18" s="60">
        <f>C17+G18</f>
        <v>38.548000000000002</v>
      </c>
      <c r="D18" s="40" t="s">
        <v>1</v>
      </c>
      <c r="E18" s="56">
        <f>IF(H17="AFIII",VLOOKUP($D18,Sheet1!$A$34:$K$48,5,FALSE),IF(H17="UBIII",VLOOKUP($D18,Sheet1!$A$34:$K$48,8,FALSE),VLOOKUP($D18,Sheet1!$A$34:$K$48,2,FALSE)))</f>
        <v>2.39</v>
      </c>
      <c r="F18" s="56">
        <f>ROUNDDOWN((IF(H17="AFIII",VLOOKUP($D18,Sheet1!$A$34:$K$48,5,FALSE),IF(H17="UBIII",VLOOKUP($D18,Sheet1!$A$34:$K$48,8,FALSE),VLOOKUP($D18,Sheet1!$A$34:$K$48,2,FALSE))))*0.85,2)</f>
        <v>2.0299999999999998</v>
      </c>
      <c r="G18" s="56">
        <f t="shared" si="5"/>
        <v>2.0299999999999998</v>
      </c>
      <c r="H18" s="61" t="s">
        <v>125</v>
      </c>
      <c r="I18" s="56">
        <v>10</v>
      </c>
      <c r="K18" s="56">
        <f t="shared" si="21"/>
        <v>12.950000000000003</v>
      </c>
      <c r="L18" s="56">
        <f t="shared" si="22"/>
        <v>72.949999999999974</v>
      </c>
      <c r="N18" s="56">
        <f>N15-G16-G17-G18</f>
        <v>2.9500000000000024</v>
      </c>
      <c r="Q18" s="56">
        <f t="shared" si="10"/>
        <v>4.5600000000000023</v>
      </c>
      <c r="R18" s="56">
        <f>R17-G18</f>
        <v>57.97</v>
      </c>
      <c r="S18" s="61" t="s">
        <v>87</v>
      </c>
      <c r="T18" s="56">
        <f t="shared" si="15"/>
        <v>15.81</v>
      </c>
      <c r="U18" s="71">
        <f t="shared" si="16"/>
        <v>75.809999999999974</v>
      </c>
      <c r="V18" s="44">
        <f>IF(H17="AFIII",VLOOKUP(D18,Sheet1!$A$4:$H$18,5,FALSE),IF(H17="UBIII",VLOOKUP(D18,Sheet1!$A$4:$H$18,8,FALSE),IF(H17="",VLOOKUP(D18,Sheet1!$A$4:$H$18,2,FALSE),"0")))</f>
        <v>2120</v>
      </c>
      <c r="W18" s="44">
        <f t="shared" si="17"/>
        <v>0</v>
      </c>
      <c r="X18" s="48">
        <f t="shared" si="18"/>
        <v>1331</v>
      </c>
      <c r="Y18" s="3" t="str">
        <f t="shared" si="19"/>
        <v>SUCCESS</v>
      </c>
      <c r="Z18" s="3" t="str">
        <f t="shared" si="20"/>
        <v>SUCCESS</v>
      </c>
    </row>
    <row r="19" spans="1:26">
      <c r="A19" s="58">
        <f>IF(H18="AFIII",VLOOKUP(D19,Sheet1!$K$4:$S$19,5,FALSE),IF(H18="UBIII",VLOOKUP(D19,Sheet1!$K$4:$S$19,8,FALSE),VLOOKUP(D19,Sheet1!$K$4:$S$19,2,FALSE)))</f>
        <v>432</v>
      </c>
      <c r="B19" s="80">
        <f t="shared" si="4"/>
        <v>6143.2</v>
      </c>
      <c r="C19" s="60">
        <f t="shared" si="0"/>
        <v>40.578000000000003</v>
      </c>
      <c r="D19" s="40" t="s">
        <v>129</v>
      </c>
      <c r="E19" s="56">
        <f>IF(H18="AFIII",VLOOKUP($D19,Sheet1!$A$34:$K$48,5,FALSE),IF(H18="UBIII",VLOOKUP($D19,Sheet1!$A$34:$K$48,8,FALSE),VLOOKUP($D19,Sheet1!$A$34:$K$48,2,FALSE)))</f>
        <v>2.39</v>
      </c>
      <c r="F19" s="56">
        <f>ROUNDDOWN((IF(H18="AFIII",VLOOKUP($D19,Sheet1!$A$34:$K$48,5,FALSE),IF(H18="UBIII",VLOOKUP($D19,Sheet1!$A$34:$K$48,8,FALSE),VLOOKUP($D19,Sheet1!$A$34:$K$48,2,FALSE))))*0.85,2)</f>
        <v>2.0299999999999998</v>
      </c>
      <c r="G19" s="56">
        <f t="shared" si="5"/>
        <v>2.0299999999999998</v>
      </c>
      <c r="H19" s="61" t="s">
        <v>84</v>
      </c>
      <c r="I19" s="56">
        <v>10</v>
      </c>
      <c r="K19" s="56">
        <f t="shared" ref="K19:K21" si="23">K18-G19</f>
        <v>10.920000000000003</v>
      </c>
      <c r="L19" s="56">
        <f t="shared" ref="L19:L21" si="24">L18-G19</f>
        <v>70.919999999999973</v>
      </c>
      <c r="M19" s="61" t="s">
        <v>140</v>
      </c>
      <c r="N19" s="56">
        <f>N18-G19</f>
        <v>0.92000000000000259</v>
      </c>
      <c r="Q19" s="56">
        <f t="shared" si="10"/>
        <v>2.5300000000000025</v>
      </c>
      <c r="R19" s="56">
        <f t="shared" ref="R19:R39" si="25">R18-G19</f>
        <v>55.94</v>
      </c>
      <c r="S19" s="61" t="s">
        <v>87</v>
      </c>
      <c r="T19" s="56">
        <f t="shared" si="15"/>
        <v>13.780000000000001</v>
      </c>
      <c r="U19" s="71">
        <f t="shared" si="16"/>
        <v>73.779999999999973</v>
      </c>
      <c r="V19" s="44">
        <f>IF(H18="AFIII",VLOOKUP(D19,Sheet1!$A$4:$H$18,5,FALSE),IF(H18="UBIII",VLOOKUP(D19,Sheet1!$A$4:$H$18,8,FALSE),IF(H18="",VLOOKUP(D19,Sheet1!$A$4:$H$18,2,FALSE),"0")))</f>
        <v>0</v>
      </c>
      <c r="W19" s="44">
        <f t="shared" si="17"/>
        <v>0</v>
      </c>
      <c r="X19" s="48">
        <f t="shared" si="18"/>
        <v>1331</v>
      </c>
      <c r="Y19" s="3" t="str">
        <f t="shared" si="19"/>
        <v>SUCCESS</v>
      </c>
      <c r="Z19" s="3" t="str">
        <f t="shared" si="20"/>
        <v>SUCCESS</v>
      </c>
    </row>
    <row r="20" spans="1:26">
      <c r="A20" s="58">
        <f>IF(H19="AFIII",VLOOKUP(D20,Sheet1!$K$4:$S$19,5,FALSE),IF(H19="UBIII",VLOOKUP(D20,Sheet1!$K$4:$S$19,8,FALSE),VLOOKUP(D20,Sheet1!$K$4:$S$19,2,FALSE)))</f>
        <v>168</v>
      </c>
      <c r="B20" s="80">
        <f t="shared" si="4"/>
        <v>6311.2</v>
      </c>
      <c r="C20" s="60">
        <f t="shared" si="0"/>
        <v>42.608000000000004</v>
      </c>
      <c r="D20" s="40" t="s">
        <v>12</v>
      </c>
      <c r="E20" s="56">
        <f>IF(H19="AFIII",VLOOKUP($D20,Sheet1!$A$34:$K$48,5,FALSE),IF(H19="UBIII",VLOOKUP($D20,Sheet1!$A$34:$K$48,8,FALSE),VLOOKUP($D20,Sheet1!$A$34:$K$48,2,FALSE)))</f>
        <v>1.67</v>
      </c>
      <c r="F20" s="56">
        <f>ROUNDDOWN((IF(H19="AFIII",VLOOKUP($D20,Sheet1!$A$34:$K$48,5,FALSE),IF(H19="UBIII",VLOOKUP($D20,Sheet1!$A$34:$K$48,8,FALSE),VLOOKUP($D20,Sheet1!$A$34:$K$48,2,FALSE))))*0.85,2)</f>
        <v>1.41</v>
      </c>
      <c r="G20" s="56">
        <f t="shared" si="5"/>
        <v>2.0299999999999998</v>
      </c>
      <c r="H20" s="61" t="s">
        <v>122</v>
      </c>
      <c r="I20" s="56">
        <v>10</v>
      </c>
      <c r="K20" s="56">
        <f t="shared" si="23"/>
        <v>8.8900000000000041</v>
      </c>
      <c r="L20" s="56">
        <f t="shared" si="24"/>
        <v>68.889999999999972</v>
      </c>
      <c r="N20" s="56">
        <f>N19-G20</f>
        <v>-1.1099999999999972</v>
      </c>
      <c r="O20" s="56">
        <f>O16-G17-G18-G20-G19</f>
        <v>51.879999999999995</v>
      </c>
      <c r="Q20" s="56">
        <f t="shared" si="10"/>
        <v>0.50000000000000266</v>
      </c>
      <c r="R20" s="56">
        <f t="shared" si="25"/>
        <v>53.91</v>
      </c>
      <c r="S20" s="61" t="s">
        <v>87</v>
      </c>
      <c r="T20" s="56">
        <f t="shared" si="15"/>
        <v>11.750000000000002</v>
      </c>
      <c r="U20" s="71">
        <f t="shared" si="16"/>
        <v>71.749999999999972</v>
      </c>
      <c r="V20" s="44">
        <f>IF(H19="AFIII",VLOOKUP(D20,Sheet1!$A$4:$H$18,5,FALSE),IF(H19="UBIII",VLOOKUP(D20,Sheet1!$A$4:$H$18,8,FALSE),IF(H19="",VLOOKUP(D20,Sheet1!$A$4:$H$18,2,FALSE),"0")))</f>
        <v>265</v>
      </c>
      <c r="W20" s="44">
        <f t="shared" si="17"/>
        <v>0</v>
      </c>
      <c r="X20" s="48">
        <f t="shared" si="18"/>
        <v>1066</v>
      </c>
      <c r="Y20" s="3" t="str">
        <f t="shared" si="19"/>
        <v>SUCCESS</v>
      </c>
      <c r="Z20" s="3" t="str">
        <f t="shared" si="20"/>
        <v>SUCCESS</v>
      </c>
    </row>
    <row r="21" spans="1:26">
      <c r="A21" s="58">
        <f>IF(H20="AFIII",VLOOKUP(D21,Sheet1!$K$4:$S$19,5,FALSE),IF(H20="UBIII",VLOOKUP(D21,Sheet1!$K$4:$S$19,8,FALSE),VLOOKUP(D21,Sheet1!$K$4:$S$19,2,FALSE)))</f>
        <v>295</v>
      </c>
      <c r="B21" s="80">
        <f t="shared" si="4"/>
        <v>6606.2</v>
      </c>
      <c r="C21" s="60">
        <f t="shared" si="0"/>
        <v>45.038000000000004</v>
      </c>
      <c r="D21" s="40" t="s">
        <v>19</v>
      </c>
      <c r="E21" s="56">
        <f>IF(H20="AFIII",VLOOKUP($D21,Sheet1!$A$34:$K$48,5,FALSE),IF(H20="UBIII",VLOOKUP($D21,Sheet1!$A$34:$K$48,8,FALSE),VLOOKUP($D21,Sheet1!$A$34:$K$48,2,FALSE)))</f>
        <v>2.86</v>
      </c>
      <c r="F21" s="56">
        <f>ROUNDDOWN((IF(H20="AFIII",VLOOKUP($D21,Sheet1!$A$34:$K$48,5,FALSE),IF(H20="UBIII",VLOOKUP($D21,Sheet1!$A$34:$K$48,8,FALSE),VLOOKUP($D21,Sheet1!$A$34:$K$48,2,FALSE))))*0.85,2)</f>
        <v>2.4300000000000002</v>
      </c>
      <c r="G21" s="56">
        <f t="shared" si="5"/>
        <v>2.4300000000000002</v>
      </c>
      <c r="H21" s="61" t="s">
        <v>122</v>
      </c>
      <c r="I21" s="56">
        <f>I20-G21</f>
        <v>7.57</v>
      </c>
      <c r="K21" s="56">
        <f t="shared" si="23"/>
        <v>6.4600000000000044</v>
      </c>
      <c r="L21" s="56">
        <f t="shared" si="24"/>
        <v>66.459999999999965</v>
      </c>
      <c r="O21" s="56">
        <f>O20-G21</f>
        <v>49.449999999999996</v>
      </c>
      <c r="Q21" s="56">
        <f t="shared" si="10"/>
        <v>-1.9299999999999975</v>
      </c>
      <c r="R21" s="56">
        <f t="shared" si="25"/>
        <v>51.48</v>
      </c>
      <c r="S21" s="61" t="s">
        <v>87</v>
      </c>
      <c r="T21" s="56">
        <f t="shared" si="15"/>
        <v>9.3200000000000021</v>
      </c>
      <c r="U21" s="71">
        <f t="shared" si="16"/>
        <v>69.319999999999965</v>
      </c>
      <c r="V21" s="44">
        <f>IF(H20="AFIII",VLOOKUP(D21,Sheet1!$A$4:$H$18,5,FALSE),IF(H20="UBIII",VLOOKUP(D21,Sheet1!$A$4:$H$18,8,FALSE),IF(H20="",VLOOKUP(D21,Sheet1!$A$4:$H$18,2,FALSE),"0")))</f>
        <v>1060</v>
      </c>
      <c r="W21" s="44">
        <f t="shared" si="17"/>
        <v>7033</v>
      </c>
      <c r="X21" s="48">
        <f t="shared" si="18"/>
        <v>7039</v>
      </c>
      <c r="Y21" s="3" t="str">
        <f t="shared" si="19"/>
        <v>SUCCESS</v>
      </c>
      <c r="Z21" s="3" t="str">
        <f t="shared" si="20"/>
        <v>SUCCESS</v>
      </c>
    </row>
    <row r="22" spans="1:26">
      <c r="A22" s="58">
        <f>IF(H21="AFIII",VLOOKUP(D22,Sheet1!$K$4:$S$19,5,FALSE),IF(H21="UBIII",VLOOKUP(D22,Sheet1!$K$4:$S$19,8,FALSE),VLOOKUP(D22,Sheet1!$K$4:$S$19,2,FALSE)))</f>
        <v>280</v>
      </c>
      <c r="B22" s="80">
        <f t="shared" si="4"/>
        <v>6886.2</v>
      </c>
      <c r="C22" s="60">
        <f t="shared" si="0"/>
        <v>47.468000000000004</v>
      </c>
      <c r="D22" s="40" t="s">
        <v>14</v>
      </c>
      <c r="E22" s="56">
        <f>IF(H21="AFIII",VLOOKUP($D22,Sheet1!$A$34:$K$48,5,FALSE),IF(H21="UBIII",VLOOKUP($D22,Sheet1!$A$34:$K$48,8,FALSE),VLOOKUP($D22,Sheet1!$A$34:$K$48,2,FALSE)))</f>
        <v>2.86</v>
      </c>
      <c r="F22" s="56">
        <f>ROUNDDOWN((IF(H21="AFIII",VLOOKUP($D22,Sheet1!$A$34:$K$48,5,FALSE),IF(H21="UBIII",VLOOKUP($D22,Sheet1!$A$34:$K$48,8,FALSE),VLOOKUP($D22,Sheet1!$A$34:$K$48,2,FALSE))))*0.85,2)</f>
        <v>2.4300000000000002</v>
      </c>
      <c r="G22" s="56">
        <f t="shared" si="5"/>
        <v>2.4300000000000002</v>
      </c>
      <c r="H22" s="61" t="s">
        <v>122</v>
      </c>
      <c r="I22" s="56">
        <f t="shared" ref="I22" si="26">I21-G22</f>
        <v>5.1400000000000006</v>
      </c>
      <c r="K22" s="56">
        <v>25</v>
      </c>
      <c r="L22" s="56">
        <f t="shared" ref="L22:L25" si="27">L21-G22</f>
        <v>64.029999999999959</v>
      </c>
      <c r="O22" s="56">
        <f t="shared" ref="O22:O39" si="28">O21-G22</f>
        <v>47.019999999999996</v>
      </c>
      <c r="P22" s="61" t="s">
        <v>17</v>
      </c>
      <c r="Q22" s="56">
        <v>21</v>
      </c>
      <c r="R22" s="56">
        <f t="shared" si="25"/>
        <v>49.05</v>
      </c>
      <c r="S22" s="61" t="s">
        <v>87</v>
      </c>
      <c r="T22" s="56">
        <f t="shared" si="15"/>
        <v>6.8900000000000023</v>
      </c>
      <c r="U22" s="71">
        <f t="shared" si="16"/>
        <v>66.889999999999958</v>
      </c>
      <c r="V22" s="44">
        <f>IF(H21="AFIII",VLOOKUP(D22,Sheet1!$A$4:$H$18,5,FALSE),IF(H21="UBIII",VLOOKUP(D22,Sheet1!$A$4:$H$18,8,FALSE),IF(H21="",VLOOKUP(D22,Sheet1!$A$4:$H$18,2,FALSE),"0")))</f>
        <v>884</v>
      </c>
      <c r="W22" s="44">
        <f t="shared" si="17"/>
        <v>7033</v>
      </c>
      <c r="X22" s="48">
        <f t="shared" si="18"/>
        <v>10622</v>
      </c>
      <c r="Y22" s="3" t="str">
        <f t="shared" si="19"/>
        <v>SUCCESS</v>
      </c>
      <c r="Z22" s="3" t="str">
        <f t="shared" si="20"/>
        <v>SUCCESS</v>
      </c>
    </row>
    <row r="23" spans="1:26">
      <c r="A23" s="58">
        <f>IF(H22="AFIII",VLOOKUP(D23,Sheet1!$K$4:$S$19,5,FALSE),IF(H22="UBIII",VLOOKUP(D23,Sheet1!$K$4:$S$19,8,FALSE),VLOOKUP(D23,Sheet1!$K$4:$S$19,2,FALSE)))</f>
        <v>168</v>
      </c>
      <c r="B23" s="80">
        <f t="shared" si="4"/>
        <v>7054.2</v>
      </c>
      <c r="C23" s="60">
        <f t="shared" si="0"/>
        <v>49.498000000000005</v>
      </c>
      <c r="D23" s="40" t="s">
        <v>4</v>
      </c>
      <c r="E23" s="56">
        <f>IF(H22="AFIII",VLOOKUP($D23,Sheet1!$A$34:$K$48,5,FALSE),IF(H22="UBIII",VLOOKUP($D23,Sheet1!$A$34:$K$48,8,FALSE),VLOOKUP($D23,Sheet1!$A$34:$K$48,2,FALSE)))</f>
        <v>1.67</v>
      </c>
      <c r="F23" s="56">
        <f>ROUNDDOWN((IF(H22="AFIII",VLOOKUP($D23,Sheet1!$A$34:$K$48,5,FALSE),IF(H22="UBIII",VLOOKUP($D23,Sheet1!$A$34:$K$48,8,FALSE),VLOOKUP($D23,Sheet1!$A$34:$K$48,2,FALSE))))*0.85,2)</f>
        <v>1.41</v>
      </c>
      <c r="G23" s="56">
        <f t="shared" si="5"/>
        <v>2.0299999999999998</v>
      </c>
      <c r="H23" s="61" t="s">
        <v>84</v>
      </c>
      <c r="I23" s="56">
        <v>10</v>
      </c>
      <c r="K23" s="56">
        <f>K22-G23</f>
        <v>22.97</v>
      </c>
      <c r="L23" s="56">
        <f t="shared" si="27"/>
        <v>61.999999999999957</v>
      </c>
      <c r="O23" s="56">
        <f t="shared" si="28"/>
        <v>44.989999999999995</v>
      </c>
      <c r="Q23" s="56">
        <f>Q22-G23</f>
        <v>18.97</v>
      </c>
      <c r="R23" s="56">
        <f t="shared" si="25"/>
        <v>47.019999999999996</v>
      </c>
      <c r="S23" s="61" t="s">
        <v>87</v>
      </c>
      <c r="T23" s="56">
        <f>T22-G23</f>
        <v>4.860000000000003</v>
      </c>
      <c r="U23" s="71">
        <f>U22-G23</f>
        <v>64.859999999999957</v>
      </c>
      <c r="V23" s="44">
        <f>IF(H22="AFIII",VLOOKUP(D23,Sheet1!$A$4:$H$18,5,FALSE),IF(H22="UBIII",VLOOKUP(D23,Sheet1!$A$4:$H$18,8,FALSE),IF(H22="",VLOOKUP(D23,Sheet1!$A$4:$H$18,2,FALSE),"0")))</f>
        <v>442</v>
      </c>
      <c r="W23" s="44">
        <f t="shared" si="17"/>
        <v>7033</v>
      </c>
      <c r="X23" s="48">
        <f t="shared" si="18"/>
        <v>11064</v>
      </c>
      <c r="Y23" s="3" t="str">
        <f t="shared" si="19"/>
        <v>SUCCESS</v>
      </c>
      <c r="Z23" s="3" t="str">
        <f t="shared" si="20"/>
        <v>SUCCESS</v>
      </c>
    </row>
    <row r="24" spans="1:26">
      <c r="A24" s="58">
        <f>IF(H23="AFIII",VLOOKUP(D24,Sheet1!$K$4:$S$19,5,FALSE),IF(H23="UBIII",VLOOKUP(D24,Sheet1!$K$4:$S$19,8,FALSE),VLOOKUP(D24,Sheet1!$K$4:$S$19,2,FALSE)))</f>
        <v>504</v>
      </c>
      <c r="B24" s="80">
        <f t="shared" si="4"/>
        <v>7558.2</v>
      </c>
      <c r="C24" s="60">
        <f t="shared" si="0"/>
        <v>51.928000000000004</v>
      </c>
      <c r="D24" s="40" t="s">
        <v>6</v>
      </c>
      <c r="E24" s="56">
        <f>IF(H23="AFIII",VLOOKUP($D24,Sheet1!$A$34:$K$48,5,FALSE),IF(H23="UBIII",VLOOKUP($D24,Sheet1!$A$34:$K$48,8,FALSE),VLOOKUP($D24,Sheet1!$A$34:$K$48,2,FALSE)))</f>
        <v>2.86</v>
      </c>
      <c r="F24" s="56">
        <f>ROUNDDOWN((IF(H23="AFIII",VLOOKUP($D24,Sheet1!$A$34:$K$48,5,FALSE),IF(H23="UBIII",VLOOKUP($D24,Sheet1!$A$34:$K$48,8,FALSE),VLOOKUP($D24,Sheet1!$A$34:$K$48,2,FALSE))))*0.85,2)</f>
        <v>2.4300000000000002</v>
      </c>
      <c r="G24" s="56">
        <f t="shared" si="5"/>
        <v>2.4300000000000002</v>
      </c>
      <c r="H24" s="61" t="s">
        <v>84</v>
      </c>
      <c r="I24" s="56">
        <f>I23-G24</f>
        <v>7.57</v>
      </c>
      <c r="K24" s="56">
        <f t="shared" ref="K24:K25" si="29">K23-G24</f>
        <v>20.54</v>
      </c>
      <c r="L24" s="56">
        <f t="shared" si="27"/>
        <v>59.569999999999958</v>
      </c>
      <c r="O24" s="56">
        <f t="shared" si="28"/>
        <v>42.559999999999995</v>
      </c>
      <c r="Q24" s="56">
        <f t="shared" ref="Q24:Q30" si="30">Q23-G24</f>
        <v>16.54</v>
      </c>
      <c r="R24" s="56">
        <f t="shared" si="25"/>
        <v>44.589999999999996</v>
      </c>
      <c r="S24" s="61" t="s">
        <v>87</v>
      </c>
      <c r="T24" s="56">
        <f t="shared" ref="T24" si="31">T23-G24</f>
        <v>2.4300000000000028</v>
      </c>
      <c r="U24" s="71">
        <f t="shared" ref="U24" si="32">U23-G24</f>
        <v>62.429999999999957</v>
      </c>
      <c r="V24" s="44">
        <f>IF(H23="AFIII",VLOOKUP(D24,Sheet1!$A$4:$H$18,5,FALSE),IF(H23="UBIII",VLOOKUP(D24,Sheet1!$A$4:$H$18,8,FALSE),IF(H23="",VLOOKUP(D24,Sheet1!$A$4:$H$18,2,FALSE),"0")))</f>
        <v>1768</v>
      </c>
      <c r="W24" s="44">
        <f t="shared" si="17"/>
        <v>0</v>
      </c>
      <c r="X24" s="48">
        <f t="shared" si="18"/>
        <v>9296</v>
      </c>
      <c r="Y24" s="3" t="str">
        <f t="shared" si="19"/>
        <v>SUCCESS</v>
      </c>
      <c r="Z24" s="3" t="str">
        <f t="shared" si="20"/>
        <v>SUCCESS</v>
      </c>
    </row>
    <row r="25" spans="1:26">
      <c r="A25" s="58">
        <f>IF(H24="AFIII",VLOOKUP(D25,Sheet1!$K$4:$S$19,5,FALSE),IF(H24="UBIII",VLOOKUP(D25,Sheet1!$K$4:$S$19,8,FALSE),VLOOKUP(D25,Sheet1!$K$4:$S$19,2,FALSE)))</f>
        <v>504</v>
      </c>
      <c r="B25" s="80">
        <f t="shared" si="4"/>
        <v>8062.2</v>
      </c>
      <c r="C25" s="60">
        <f t="shared" si="0"/>
        <v>54.358000000000004</v>
      </c>
      <c r="D25" s="40" t="s">
        <v>6</v>
      </c>
      <c r="E25" s="56">
        <f>IF(H24="AFIII",VLOOKUP($D25,Sheet1!$A$34:$K$48,5,FALSE),IF(H24="UBIII",VLOOKUP($D25,Sheet1!$A$34:$K$48,8,FALSE),VLOOKUP($D25,Sheet1!$A$34:$K$48,2,FALSE)))</f>
        <v>2.86</v>
      </c>
      <c r="F25" s="56">
        <f>ROUNDDOWN((IF(H24="AFIII",VLOOKUP($D25,Sheet1!$A$34:$K$48,5,FALSE),IF(H24="UBIII",VLOOKUP($D25,Sheet1!$A$34:$K$48,8,FALSE),VLOOKUP($D25,Sheet1!$A$34:$K$48,2,FALSE))))*0.85,2)</f>
        <v>2.4300000000000002</v>
      </c>
      <c r="G25" s="56">
        <f t="shared" si="5"/>
        <v>2.4300000000000002</v>
      </c>
      <c r="H25" s="61" t="s">
        <v>84</v>
      </c>
      <c r="I25" s="56">
        <f>I24-G25</f>
        <v>5.1400000000000006</v>
      </c>
      <c r="K25" s="56">
        <f t="shared" si="29"/>
        <v>18.11</v>
      </c>
      <c r="L25" s="56">
        <f t="shared" si="27"/>
        <v>57.139999999999958</v>
      </c>
      <c r="O25" s="56">
        <f t="shared" si="28"/>
        <v>40.129999999999995</v>
      </c>
      <c r="Q25" s="56">
        <f t="shared" si="30"/>
        <v>14.11</v>
      </c>
      <c r="R25" s="56">
        <f t="shared" si="25"/>
        <v>42.16</v>
      </c>
      <c r="S25" s="61" t="s">
        <v>87</v>
      </c>
      <c r="T25" s="56">
        <f>T24-G25</f>
        <v>0</v>
      </c>
      <c r="U25" s="71">
        <f>U24-G25</f>
        <v>59.999999999999957</v>
      </c>
      <c r="V25" s="44">
        <f>IF(H24="AFIII",VLOOKUP(D25,Sheet1!$A$4:$H$18,5,FALSE),IF(H24="UBIII",VLOOKUP(D25,Sheet1!$A$4:$H$18,8,FALSE),IF(H24="",VLOOKUP(D25,Sheet1!$A$4:$H$18,2,FALSE),"0")))</f>
        <v>1768</v>
      </c>
      <c r="W25" s="44">
        <f t="shared" si="17"/>
        <v>0</v>
      </c>
      <c r="X25" s="48">
        <f t="shared" si="18"/>
        <v>7528</v>
      </c>
      <c r="Y25" s="3" t="str">
        <f t="shared" si="19"/>
        <v>SUCCESS</v>
      </c>
      <c r="Z25" s="3" t="str">
        <f t="shared" si="20"/>
        <v>SUCCESS</v>
      </c>
    </row>
    <row r="26" spans="1:26">
      <c r="A26" s="58">
        <f>IF(H25="AFIII",VLOOKUP(D26,Sheet1!$K$4:$S$19,5,FALSE),IF(H25="UBIII",VLOOKUP(D26,Sheet1!$K$4:$S$19,8,FALSE),VLOOKUP(D26,Sheet1!$K$4:$S$19,2,FALSE)))</f>
        <v>496.8</v>
      </c>
      <c r="B26" s="80">
        <f t="shared" si="4"/>
        <v>8559</v>
      </c>
      <c r="C26" s="60">
        <f t="shared" si="0"/>
        <v>57.198000000000008</v>
      </c>
      <c r="D26" s="40" t="s">
        <v>128</v>
      </c>
      <c r="E26" s="56">
        <f>IF(H25="AFIII",VLOOKUP($D26,Sheet1!$A$34:$K$48,5,FALSE),IF(H25="UBIII",VLOOKUP($D26,Sheet1!$A$34:$K$48,8,FALSE),VLOOKUP($D26,Sheet1!$A$34:$K$48,2,FALSE)))</f>
        <v>3.3460000000000001</v>
      </c>
      <c r="F26" s="56">
        <f>ROUNDDOWN((IF(H25="AFIII",VLOOKUP($D26,Sheet1!$A$34:$K$48,5,FALSE),IF(H25="UBIII",VLOOKUP($D26,Sheet1!$A$34:$K$48,8,FALSE),VLOOKUP($D26,Sheet1!$A$34:$K$48,2,FALSE))))*0.85,2)</f>
        <v>2.84</v>
      </c>
      <c r="G26" s="56">
        <f t="shared" si="5"/>
        <v>2.84</v>
      </c>
      <c r="H26" s="61" t="s">
        <v>125</v>
      </c>
      <c r="I26" s="56">
        <v>10</v>
      </c>
      <c r="K26" s="56">
        <f t="shared" ref="K26" si="33">K25-G26</f>
        <v>15.27</v>
      </c>
      <c r="L26" s="56">
        <f t="shared" ref="L26" si="34">L25-G26</f>
        <v>54.299999999999955</v>
      </c>
      <c r="O26" s="56">
        <f t="shared" si="28"/>
        <v>37.289999999999992</v>
      </c>
      <c r="Q26" s="56">
        <f t="shared" si="30"/>
        <v>11.27</v>
      </c>
      <c r="R26" s="56">
        <f t="shared" si="25"/>
        <v>39.319999999999993</v>
      </c>
      <c r="T26" s="56">
        <f>T25-G26</f>
        <v>-2.84</v>
      </c>
      <c r="U26" s="71">
        <f t="shared" ref="U26:U47" si="35">U25-G26</f>
        <v>57.159999999999954</v>
      </c>
      <c r="V26" s="44">
        <f>IF(H25="AFIII",VLOOKUP(D26,Sheet1!$A$4:$H$18,5,FALSE),IF(H25="UBIII",VLOOKUP(D26,Sheet1!$A$4:$H$18,8,FALSE),IF(H25="",VLOOKUP(D26,Sheet1!$A$4:$H$18,2,FALSE),"0")))</f>
        <v>2120</v>
      </c>
      <c r="W26" s="44">
        <f t="shared" si="17"/>
        <v>0</v>
      </c>
      <c r="X26" s="48">
        <f t="shared" si="18"/>
        <v>5408</v>
      </c>
      <c r="Y26" s="3" t="str">
        <f t="shared" si="19"/>
        <v>SUCCESS</v>
      </c>
      <c r="Z26" s="3" t="str">
        <f t="shared" si="20"/>
        <v>SUCCESS</v>
      </c>
    </row>
    <row r="27" spans="1:26">
      <c r="A27" s="58">
        <f>IF(H26="AFIII",VLOOKUP(D27,Sheet1!$K$4:$S$19,5,FALSE),IF(H26="UBIII",VLOOKUP(D27,Sheet1!$K$4:$S$19,8,FALSE),VLOOKUP(D27,Sheet1!$K$4:$S$19,2,FALSE)))</f>
        <v>504</v>
      </c>
      <c r="B27" s="80">
        <f t="shared" si="4"/>
        <v>9063</v>
      </c>
      <c r="C27" s="60">
        <f t="shared" si="0"/>
        <v>60.058000000000007</v>
      </c>
      <c r="D27" s="40" t="s">
        <v>6</v>
      </c>
      <c r="E27" s="56">
        <f>IF(H26="AFIII",VLOOKUP($D27,Sheet1!$A$34:$K$48,5,FALSE),IF(H26="UBIII",VLOOKUP($D27,Sheet1!$A$34:$K$48,8,FALSE),VLOOKUP($D27,Sheet1!$A$34:$K$48,2,FALSE)))</f>
        <v>2.86</v>
      </c>
      <c r="F27" s="56">
        <f>ROUNDDOWN((IF(H26="AFIII",VLOOKUP($D27,Sheet1!$A$34:$K$48,5,FALSE),IF(H26="UBIII",VLOOKUP($D27,Sheet1!$A$34:$K$48,8,FALSE),VLOOKUP($D27,Sheet1!$A$34:$K$48,2,FALSE))))*0.85,2)</f>
        <v>2.4300000000000002</v>
      </c>
      <c r="G27" s="56">
        <f t="shared" si="5"/>
        <v>2.86</v>
      </c>
      <c r="H27" s="61" t="s">
        <v>84</v>
      </c>
      <c r="I27" s="56">
        <f>I26-G27</f>
        <v>7.1400000000000006</v>
      </c>
      <c r="K27" s="56">
        <f t="shared" ref="K27:K30" si="36">K26-G27</f>
        <v>12.41</v>
      </c>
      <c r="L27" s="56">
        <f t="shared" ref="L27:L45" si="37">L26-G27</f>
        <v>51.439999999999955</v>
      </c>
      <c r="O27" s="56">
        <f t="shared" si="28"/>
        <v>34.429999999999993</v>
      </c>
      <c r="Q27" s="56">
        <f t="shared" si="30"/>
        <v>8.41</v>
      </c>
      <c r="R27" s="56">
        <f t="shared" si="25"/>
        <v>36.459999999999994</v>
      </c>
      <c r="U27" s="71">
        <f t="shared" si="35"/>
        <v>54.299999999999955</v>
      </c>
      <c r="V27" s="44">
        <f>IF(H26="AFIII",VLOOKUP(D27,Sheet1!$A$4:$H$18,5,FALSE),IF(H26="UBIII",VLOOKUP(D27,Sheet1!$A$4:$H$18,8,FALSE),IF(H26="",VLOOKUP(D27,Sheet1!$A$4:$H$18,2,FALSE),"0")))</f>
        <v>1768</v>
      </c>
      <c r="W27" s="44">
        <f t="shared" si="17"/>
        <v>0</v>
      </c>
      <c r="X27" s="48">
        <f t="shared" si="18"/>
        <v>3640</v>
      </c>
      <c r="Y27" s="3" t="str">
        <f t="shared" si="19"/>
        <v>SUCCESS</v>
      </c>
      <c r="Z27" s="3" t="str">
        <f t="shared" si="20"/>
        <v>SUCCESS</v>
      </c>
    </row>
    <row r="28" spans="1:26">
      <c r="A28" s="58">
        <f>IF(H27="AFIII",VLOOKUP(D28,Sheet1!$K$4:$S$19,5,FALSE),IF(H27="UBIII",VLOOKUP(D28,Sheet1!$K$4:$S$19,8,FALSE),VLOOKUP(D28,Sheet1!$K$4:$S$19,2,FALSE)))</f>
        <v>504</v>
      </c>
      <c r="B28" s="80">
        <f t="shared" si="4"/>
        <v>9567</v>
      </c>
      <c r="C28" s="60">
        <f t="shared" si="0"/>
        <v>62.918000000000006</v>
      </c>
      <c r="D28" s="40" t="s">
        <v>6</v>
      </c>
      <c r="E28" s="56">
        <f>IF(H27="AFIII",VLOOKUP($D28,Sheet1!$A$34:$K$48,5,FALSE),IF(H27="UBIII",VLOOKUP($D28,Sheet1!$A$34:$K$48,8,FALSE),VLOOKUP($D28,Sheet1!$A$34:$K$48,2,FALSE)))</f>
        <v>2.86</v>
      </c>
      <c r="F28" s="56">
        <f>ROUNDDOWN((IF(H27="AFIII",VLOOKUP($D28,Sheet1!$A$34:$K$48,5,FALSE),IF(H27="UBIII",VLOOKUP($D28,Sheet1!$A$34:$K$48,8,FALSE),VLOOKUP($D28,Sheet1!$A$34:$K$48,2,FALSE))))*0.85,2)</f>
        <v>2.4300000000000002</v>
      </c>
      <c r="G28" s="56">
        <f t="shared" si="5"/>
        <v>2.86</v>
      </c>
      <c r="H28" s="61" t="s">
        <v>84</v>
      </c>
      <c r="I28" s="56">
        <f>I27-G28</f>
        <v>4.2800000000000011</v>
      </c>
      <c r="K28" s="56">
        <f t="shared" si="36"/>
        <v>9.5500000000000007</v>
      </c>
      <c r="L28" s="56">
        <f t="shared" si="37"/>
        <v>48.579999999999956</v>
      </c>
      <c r="O28" s="56">
        <f t="shared" si="28"/>
        <v>31.569999999999993</v>
      </c>
      <c r="Q28" s="56">
        <f t="shared" si="30"/>
        <v>5.5500000000000007</v>
      </c>
      <c r="R28" s="56">
        <f t="shared" si="25"/>
        <v>33.599999999999994</v>
      </c>
      <c r="U28" s="71">
        <f t="shared" si="35"/>
        <v>51.439999999999955</v>
      </c>
      <c r="V28" s="44">
        <f>IF(H27="AFIII",VLOOKUP(D28,Sheet1!$A$4:$H$18,5,FALSE),IF(H27="UBIII",VLOOKUP(D28,Sheet1!$A$4:$H$18,8,FALSE),IF(H27="",VLOOKUP(D28,Sheet1!$A$4:$H$18,2,FALSE),"0")))</f>
        <v>1768</v>
      </c>
      <c r="W28" s="44">
        <f t="shared" si="17"/>
        <v>0</v>
      </c>
      <c r="X28" s="48">
        <f t="shared" si="18"/>
        <v>1872</v>
      </c>
      <c r="Y28" s="3" t="str">
        <f t="shared" si="19"/>
        <v>SUCCESS</v>
      </c>
      <c r="Z28" s="3" t="str">
        <f t="shared" si="20"/>
        <v>SUCCESS</v>
      </c>
    </row>
    <row r="29" spans="1:26">
      <c r="A29" s="58">
        <f>IF(H28="AFIII",VLOOKUP(D29,Sheet1!$K$4:$S$19,5,FALSE),IF(H28="UBIII",VLOOKUP(D29,Sheet1!$K$4:$S$19,8,FALSE),VLOOKUP(D29,Sheet1!$K$4:$S$19,2,FALSE)))</f>
        <v>168</v>
      </c>
      <c r="B29" s="80">
        <f t="shared" si="4"/>
        <v>9735</v>
      </c>
      <c r="C29" s="60">
        <f t="shared" si="0"/>
        <v>65.308000000000007</v>
      </c>
      <c r="D29" s="40" t="s">
        <v>12</v>
      </c>
      <c r="E29" s="56">
        <f>IF(H28="AFIII",VLOOKUP($D29,Sheet1!$A$34:$K$48,5,FALSE),IF(H28="UBIII",VLOOKUP($D29,Sheet1!$A$34:$K$48,8,FALSE),VLOOKUP($D29,Sheet1!$A$34:$K$48,2,FALSE)))</f>
        <v>1.67</v>
      </c>
      <c r="F29" s="56">
        <f>ROUNDDOWN((IF(H28="AFIII",VLOOKUP($D29,Sheet1!$A$34:$K$48,5,FALSE),IF(H28="UBIII",VLOOKUP($D29,Sheet1!$A$34:$K$48,8,FALSE),VLOOKUP($D29,Sheet1!$A$34:$K$48,2,FALSE))))*0.85,2)</f>
        <v>1.41</v>
      </c>
      <c r="G29" s="56">
        <f t="shared" si="5"/>
        <v>2.39</v>
      </c>
      <c r="H29" s="61" t="s">
        <v>122</v>
      </c>
      <c r="I29" s="56">
        <v>10</v>
      </c>
      <c r="K29" s="56">
        <f t="shared" si="36"/>
        <v>7.16</v>
      </c>
      <c r="L29" s="56">
        <f t="shared" si="37"/>
        <v>46.189999999999955</v>
      </c>
      <c r="O29" s="56">
        <f t="shared" si="28"/>
        <v>29.179999999999993</v>
      </c>
      <c r="Q29" s="56">
        <f t="shared" si="30"/>
        <v>3.1600000000000006</v>
      </c>
      <c r="R29" s="56">
        <f t="shared" si="25"/>
        <v>31.209999999999994</v>
      </c>
      <c r="U29" s="71">
        <f t="shared" si="35"/>
        <v>49.049999999999955</v>
      </c>
      <c r="V29" s="44">
        <f>IF(H28="AFIII",VLOOKUP(D29,Sheet1!$A$4:$H$18,5,FALSE),IF(H28="UBIII",VLOOKUP(D29,Sheet1!$A$4:$H$18,8,FALSE),IF(H28="",VLOOKUP(D29,Sheet1!$A$4:$H$18,2,FALSE),"0")))</f>
        <v>265</v>
      </c>
      <c r="W29" s="44">
        <f t="shared" si="17"/>
        <v>0</v>
      </c>
      <c r="X29" s="48">
        <f t="shared" si="18"/>
        <v>1607</v>
      </c>
      <c r="Y29" s="3" t="str">
        <f t="shared" si="19"/>
        <v>SUCCESS</v>
      </c>
      <c r="Z29" s="3" t="str">
        <f t="shared" si="20"/>
        <v>SUCCESS</v>
      </c>
    </row>
    <row r="30" spans="1:26">
      <c r="A30" s="58">
        <f>IF(H29="AFIII",VLOOKUP(D30,Sheet1!$K$4:$S$19,5,FALSE),IF(H29="UBIII",VLOOKUP(D30,Sheet1!$K$4:$S$19,8,FALSE),VLOOKUP(D30,Sheet1!$K$4:$S$19,2,FALSE)))</f>
        <v>340</v>
      </c>
      <c r="B30" s="80">
        <f t="shared" si="4"/>
        <v>10075</v>
      </c>
      <c r="C30" s="60">
        <f t="shared" si="0"/>
        <v>68.64800000000001</v>
      </c>
      <c r="D30" s="40" t="s">
        <v>21</v>
      </c>
      <c r="E30" s="56">
        <f>IF(H29="AFIII",VLOOKUP($D30,Sheet1!$A$34:$K$48,5,FALSE),IF(H29="UBIII",VLOOKUP($D30,Sheet1!$A$34:$K$48,8,FALSE),VLOOKUP($D30,Sheet1!$A$34:$K$48,2,FALSE)))</f>
        <v>3.34</v>
      </c>
      <c r="F30" s="56">
        <f>ROUNDDOWN((IF(H29="AFIII",VLOOKUP($D30,Sheet1!$A$34:$K$48,5,FALSE),IF(H29="UBIII",VLOOKUP($D30,Sheet1!$A$34:$K$48,8,FALSE),VLOOKUP($D30,Sheet1!$A$34:$K$48,2,FALSE))))*0.85,2)</f>
        <v>2.83</v>
      </c>
      <c r="G30" s="56">
        <f t="shared" si="5"/>
        <v>3.34</v>
      </c>
      <c r="H30" s="61" t="s">
        <v>122</v>
      </c>
      <c r="I30" s="56">
        <f>I29-G30</f>
        <v>6.66</v>
      </c>
      <c r="K30" s="56">
        <f t="shared" si="36"/>
        <v>3.8200000000000003</v>
      </c>
      <c r="L30" s="56">
        <f t="shared" si="37"/>
        <v>42.849999999999952</v>
      </c>
      <c r="O30" s="56">
        <f t="shared" si="28"/>
        <v>25.839999999999993</v>
      </c>
      <c r="Q30" s="56">
        <f t="shared" si="30"/>
        <v>-0.17999999999999927</v>
      </c>
      <c r="R30" s="56">
        <f t="shared" si="25"/>
        <v>27.869999999999994</v>
      </c>
      <c r="U30" s="71">
        <f t="shared" si="35"/>
        <v>45.709999999999951</v>
      </c>
      <c r="V30" s="44">
        <f>IF(H29="AFIII",VLOOKUP(D30,Sheet1!$A$4:$H$18,5,FALSE),IF(H29="UBIII",VLOOKUP(D30,Sheet1!$A$4:$H$18,8,FALSE),IF(H29="",VLOOKUP(D30,Sheet1!$A$4:$H$18,2,FALSE),"0")))</f>
        <v>1414</v>
      </c>
      <c r="W30" s="44">
        <f t="shared" si="17"/>
        <v>7033</v>
      </c>
      <c r="X30" s="48">
        <f t="shared" si="18"/>
        <v>7226</v>
      </c>
      <c r="Y30" s="3" t="str">
        <f t="shared" si="19"/>
        <v>SUCCESS</v>
      </c>
      <c r="Z30" s="3" t="str">
        <f t="shared" si="20"/>
        <v>SUCCESS</v>
      </c>
    </row>
    <row r="31" spans="1:26">
      <c r="A31" s="58">
        <f>IF(H30="AFIII",VLOOKUP(D31,Sheet1!$K$4:$S$19,5,FALSE),IF(H30="UBIII",VLOOKUP(D31,Sheet1!$K$4:$S$19,8,FALSE),VLOOKUP(D31,Sheet1!$K$4:$S$19,2,FALSE)))</f>
        <v>280</v>
      </c>
      <c r="B31" s="80">
        <f t="shared" si="4"/>
        <v>10355</v>
      </c>
      <c r="C31" s="60">
        <f t="shared" si="0"/>
        <v>71.50800000000001</v>
      </c>
      <c r="D31" s="40" t="s">
        <v>14</v>
      </c>
      <c r="E31" s="56">
        <f>IF(H30="AFIII",VLOOKUP($D31,Sheet1!$A$34:$K$48,5,FALSE),IF(H30="UBIII",VLOOKUP($D31,Sheet1!$A$34:$K$48,8,FALSE),VLOOKUP($D31,Sheet1!$A$34:$K$48,2,FALSE)))</f>
        <v>2.86</v>
      </c>
      <c r="F31" s="56">
        <f>ROUNDDOWN((IF(H30="AFIII",VLOOKUP($D31,Sheet1!$A$34:$K$48,5,FALSE),IF(H30="UBIII",VLOOKUP($D31,Sheet1!$A$34:$K$48,8,FALSE),VLOOKUP($D31,Sheet1!$A$34:$K$48,2,FALSE))))*0.85,2)</f>
        <v>2.4300000000000002</v>
      </c>
      <c r="G31" s="56">
        <f t="shared" si="5"/>
        <v>2.86</v>
      </c>
      <c r="H31" s="61" t="s">
        <v>122</v>
      </c>
      <c r="I31" s="56">
        <f>I30-G31</f>
        <v>3.8000000000000003</v>
      </c>
      <c r="K31" s="56">
        <v>20</v>
      </c>
      <c r="L31" s="56">
        <f t="shared" si="37"/>
        <v>39.989999999999952</v>
      </c>
      <c r="O31" s="56">
        <f t="shared" si="28"/>
        <v>22.979999999999993</v>
      </c>
      <c r="P31" s="61" t="s">
        <v>17</v>
      </c>
      <c r="Q31" s="56">
        <v>21</v>
      </c>
      <c r="R31" s="56">
        <f t="shared" si="25"/>
        <v>25.009999999999994</v>
      </c>
      <c r="U31" s="71">
        <f t="shared" si="35"/>
        <v>42.849999999999952</v>
      </c>
      <c r="V31" s="44">
        <f>IF(H30="AFIII",VLOOKUP(D31,Sheet1!$A$4:$H$18,5,FALSE),IF(H30="UBIII",VLOOKUP(D31,Sheet1!$A$4:$H$18,8,FALSE),IF(H30="",VLOOKUP(D31,Sheet1!$A$4:$H$18,2,FALSE),"0")))</f>
        <v>884</v>
      </c>
      <c r="W31" s="44">
        <f t="shared" si="17"/>
        <v>7033</v>
      </c>
      <c r="X31" s="48">
        <f t="shared" si="18"/>
        <v>10622</v>
      </c>
      <c r="Y31" s="3" t="str">
        <f t="shared" si="19"/>
        <v>SUCCESS</v>
      </c>
      <c r="Z31" s="3" t="str">
        <f t="shared" si="20"/>
        <v>SUCCESS</v>
      </c>
    </row>
    <row r="32" spans="1:26">
      <c r="A32" s="58">
        <f>IF(H31="AFIII",VLOOKUP(D32,Sheet1!$K$4:$S$19,5,FALSE),IF(H31="UBIII",VLOOKUP(D32,Sheet1!$K$4:$S$19,8,FALSE),VLOOKUP(D32,Sheet1!$K$4:$S$19,2,FALSE)))</f>
        <v>168</v>
      </c>
      <c r="B32" s="80">
        <f t="shared" si="4"/>
        <v>10523</v>
      </c>
      <c r="C32" s="60">
        <f t="shared" si="0"/>
        <v>73.89800000000001</v>
      </c>
      <c r="D32" s="40" t="s">
        <v>3</v>
      </c>
      <c r="E32" s="56">
        <f>IF(H31="AFIII",VLOOKUP($D32,Sheet1!$A$34:$K$48,5,FALSE),IF(H31="UBIII",VLOOKUP($D32,Sheet1!$A$34:$K$48,8,FALSE),VLOOKUP($D32,Sheet1!$A$34:$K$48,2,FALSE)))</f>
        <v>1.67</v>
      </c>
      <c r="F32" s="56">
        <f>ROUNDDOWN((IF(H31="AFIII",VLOOKUP($D32,Sheet1!$A$34:$K$48,5,FALSE),IF(H31="UBIII",VLOOKUP($D32,Sheet1!$A$34:$K$48,8,FALSE),VLOOKUP($D32,Sheet1!$A$34:$K$48,2,FALSE))))*0.85,2)</f>
        <v>1.41</v>
      </c>
      <c r="G32" s="56">
        <f t="shared" si="5"/>
        <v>2.39</v>
      </c>
      <c r="H32" s="61" t="s">
        <v>84</v>
      </c>
      <c r="I32" s="56">
        <v>10</v>
      </c>
      <c r="K32" s="56">
        <f>K31-G32</f>
        <v>17.61</v>
      </c>
      <c r="L32" s="56">
        <f t="shared" si="37"/>
        <v>37.599999999999952</v>
      </c>
      <c r="O32" s="56">
        <f t="shared" si="28"/>
        <v>20.589999999999993</v>
      </c>
      <c r="Q32" s="56">
        <f>Q31-G32</f>
        <v>18.61</v>
      </c>
      <c r="R32" s="56">
        <f t="shared" si="25"/>
        <v>22.619999999999994</v>
      </c>
      <c r="U32" s="71">
        <f t="shared" si="35"/>
        <v>40.459999999999951</v>
      </c>
      <c r="V32" s="44">
        <f>IF(H31="AFIII",VLOOKUP(D32,Sheet1!$A$4:$H$18,5,FALSE),IF(H31="UBIII",VLOOKUP(D32,Sheet1!$A$4:$H$18,8,FALSE),IF(H31="",VLOOKUP(D32,Sheet1!$A$4:$H$18,2,FALSE),"0")))</f>
        <v>442</v>
      </c>
      <c r="W32" s="44">
        <f t="shared" si="17"/>
        <v>7033</v>
      </c>
      <c r="X32" s="48">
        <f t="shared" si="18"/>
        <v>11064</v>
      </c>
      <c r="Y32" s="3" t="str">
        <f t="shared" si="19"/>
        <v>SUCCESS</v>
      </c>
      <c r="Z32" s="3" t="str">
        <f t="shared" si="20"/>
        <v>SUCCESS</v>
      </c>
    </row>
    <row r="33" spans="1:26">
      <c r="A33" s="58">
        <f>IF(H32="AFIII",VLOOKUP(D33,Sheet1!$K$4:$S$19,5,FALSE),IF(H32="UBIII",VLOOKUP(D33,Sheet1!$K$4:$S$19,8,FALSE),VLOOKUP(D33,Sheet1!$K$4:$S$19,2,FALSE)))</f>
        <v>504</v>
      </c>
      <c r="B33" s="80">
        <f t="shared" si="4"/>
        <v>11027</v>
      </c>
      <c r="C33" s="60">
        <f t="shared" si="0"/>
        <v>76.75800000000001</v>
      </c>
      <c r="D33" s="40" t="s">
        <v>5</v>
      </c>
      <c r="E33" s="56">
        <f>IF(H32="AFIII",VLOOKUP($D33,Sheet1!$A$34:$K$48,5,FALSE),IF(H32="UBIII",VLOOKUP($D33,Sheet1!$A$34:$K$48,8,FALSE),VLOOKUP($D33,Sheet1!$A$34:$K$48,2,FALSE)))</f>
        <v>2.86</v>
      </c>
      <c r="F33" s="56">
        <f>ROUNDDOWN((IF(H32="AFIII",VLOOKUP($D33,Sheet1!$A$34:$K$48,5,FALSE),IF(H32="UBIII",VLOOKUP($D33,Sheet1!$A$34:$K$48,8,FALSE),VLOOKUP($D33,Sheet1!$A$34:$K$48,2,FALSE))))*0.85,2)</f>
        <v>2.4300000000000002</v>
      </c>
      <c r="G33" s="56">
        <f t="shared" si="5"/>
        <v>2.86</v>
      </c>
      <c r="H33" s="61" t="s">
        <v>84</v>
      </c>
      <c r="I33" s="56">
        <f>I32-G33</f>
        <v>7.1400000000000006</v>
      </c>
      <c r="K33" s="56">
        <f t="shared" ref="K33:K45" si="38">K32-G33</f>
        <v>14.75</v>
      </c>
      <c r="L33" s="56">
        <f t="shared" si="37"/>
        <v>34.739999999999952</v>
      </c>
      <c r="O33" s="56">
        <f t="shared" si="28"/>
        <v>17.729999999999993</v>
      </c>
      <c r="Q33" s="56">
        <f t="shared" ref="Q33:Q38" si="39">Q32-G33</f>
        <v>15.75</v>
      </c>
      <c r="R33" s="56">
        <f t="shared" si="25"/>
        <v>19.759999999999994</v>
      </c>
      <c r="U33" s="71">
        <f t="shared" si="35"/>
        <v>37.599999999999952</v>
      </c>
      <c r="V33" s="44">
        <f>IF(H32="AFIII",VLOOKUP(D33,Sheet1!$A$4:$H$18,5,FALSE),IF(H32="UBIII",VLOOKUP(D33,Sheet1!$A$4:$H$18,8,FALSE),IF(H32="",VLOOKUP(D33,Sheet1!$A$4:$H$18,2,FALSE),"0")))</f>
        <v>1768</v>
      </c>
      <c r="W33" s="44">
        <f t="shared" si="17"/>
        <v>0</v>
      </c>
      <c r="X33" s="48">
        <f t="shared" si="18"/>
        <v>9296</v>
      </c>
      <c r="Y33" s="3" t="str">
        <f t="shared" si="19"/>
        <v>SUCCESS</v>
      </c>
      <c r="Z33" s="3" t="str">
        <f t="shared" si="20"/>
        <v>SUCCESS</v>
      </c>
    </row>
    <row r="34" spans="1:26">
      <c r="A34" s="58">
        <f>IF(H33="AFIII",VLOOKUP(D34,Sheet1!$K$4:$S$19,5,FALSE),IF(H33="UBIII",VLOOKUP(D34,Sheet1!$K$4:$S$19,8,FALSE),VLOOKUP(D34,Sheet1!$K$4:$S$19,2,FALSE)))</f>
        <v>504</v>
      </c>
      <c r="B34" s="80">
        <f t="shared" si="4"/>
        <v>11531</v>
      </c>
      <c r="C34" s="60">
        <f t="shared" si="0"/>
        <v>79.618000000000009</v>
      </c>
      <c r="D34" s="40" t="s">
        <v>5</v>
      </c>
      <c r="E34" s="56">
        <f>IF(H33="AFIII",VLOOKUP($D34,Sheet1!$A$34:$K$48,5,FALSE),IF(H33="UBIII",VLOOKUP($D34,Sheet1!$A$34:$K$48,8,FALSE),VLOOKUP($D34,Sheet1!$A$34:$K$48,2,FALSE)))</f>
        <v>2.86</v>
      </c>
      <c r="F34" s="56">
        <f>ROUNDDOWN((IF(H33="AFIII",VLOOKUP($D34,Sheet1!$A$34:$K$48,5,FALSE),IF(H33="UBIII",VLOOKUP($D34,Sheet1!$A$34:$K$48,8,FALSE),VLOOKUP($D34,Sheet1!$A$34:$K$48,2,FALSE))))*0.85,2)</f>
        <v>2.4300000000000002</v>
      </c>
      <c r="G34" s="56">
        <f t="shared" si="5"/>
        <v>2.86</v>
      </c>
      <c r="H34" s="61" t="s">
        <v>84</v>
      </c>
      <c r="I34" s="56">
        <f t="shared" ref="I34" si="40">I33-G34</f>
        <v>4.2800000000000011</v>
      </c>
      <c r="K34" s="56">
        <f t="shared" si="38"/>
        <v>11.89</v>
      </c>
      <c r="L34" s="56">
        <f t="shared" si="37"/>
        <v>31.879999999999953</v>
      </c>
      <c r="O34" s="56">
        <f t="shared" si="28"/>
        <v>14.869999999999994</v>
      </c>
      <c r="Q34" s="56">
        <f t="shared" si="39"/>
        <v>12.89</v>
      </c>
      <c r="R34" s="56">
        <f t="shared" si="25"/>
        <v>16.899999999999995</v>
      </c>
      <c r="U34" s="71">
        <f t="shared" si="35"/>
        <v>34.739999999999952</v>
      </c>
      <c r="V34" s="44">
        <f>IF(H33="AFIII",VLOOKUP(D34,Sheet1!$A$4:$H$18,5,FALSE),IF(H33="UBIII",VLOOKUP(D34,Sheet1!$A$4:$H$18,8,FALSE),IF(H33="",VLOOKUP(D34,Sheet1!$A$4:$H$18,2,FALSE),"0")))</f>
        <v>1768</v>
      </c>
      <c r="W34" s="44">
        <f t="shared" si="17"/>
        <v>0</v>
      </c>
      <c r="X34" s="48">
        <f t="shared" si="18"/>
        <v>7528</v>
      </c>
      <c r="Y34" s="3" t="str">
        <f t="shared" si="19"/>
        <v>SUCCESS</v>
      </c>
      <c r="Z34" s="3" t="str">
        <f t="shared" si="20"/>
        <v>SUCCESS</v>
      </c>
    </row>
    <row r="35" spans="1:26">
      <c r="A35" s="58">
        <f>IF(H34="AFIII",VLOOKUP(D35,Sheet1!$K$4:$S$19,5,FALSE),IF(H34="UBIII",VLOOKUP(D35,Sheet1!$K$4:$S$19,8,FALSE),VLOOKUP(D35,Sheet1!$K$4:$S$19,2,FALSE)))</f>
        <v>496.8</v>
      </c>
      <c r="B35" s="80">
        <f t="shared" si="4"/>
        <v>12027.8</v>
      </c>
      <c r="C35" s="60">
        <f t="shared" si="0"/>
        <v>82.964000000000013</v>
      </c>
      <c r="D35" s="40" t="s">
        <v>128</v>
      </c>
      <c r="E35" s="56">
        <f>IF(H34="AFIII",VLOOKUP($D35,Sheet1!$A$34:$K$48,5,FALSE),IF(H34="UBIII",VLOOKUP($D35,Sheet1!$A$34:$K$48,8,FALSE),VLOOKUP($D35,Sheet1!$A$34:$K$48,2,FALSE)))</f>
        <v>3.3460000000000001</v>
      </c>
      <c r="F35" s="56">
        <f>ROUNDDOWN((IF(H34="AFIII",VLOOKUP($D35,Sheet1!$A$34:$K$48,5,FALSE),IF(H34="UBIII",VLOOKUP($D35,Sheet1!$A$34:$K$48,8,FALSE),VLOOKUP($D35,Sheet1!$A$34:$K$48,2,FALSE))))*0.85,2)</f>
        <v>2.84</v>
      </c>
      <c r="G35" s="56">
        <f t="shared" si="5"/>
        <v>3.3460000000000001</v>
      </c>
      <c r="H35" s="61" t="s">
        <v>84</v>
      </c>
      <c r="I35" s="56">
        <v>10</v>
      </c>
      <c r="K35" s="56">
        <f t="shared" si="38"/>
        <v>8.5440000000000005</v>
      </c>
      <c r="L35" s="56">
        <f t="shared" si="37"/>
        <v>28.533999999999953</v>
      </c>
      <c r="O35" s="56">
        <f t="shared" si="28"/>
        <v>11.523999999999994</v>
      </c>
      <c r="Q35" s="56">
        <f t="shared" si="39"/>
        <v>9.5440000000000005</v>
      </c>
      <c r="R35" s="56">
        <f>R34-G35</f>
        <v>13.553999999999995</v>
      </c>
      <c r="U35" s="71">
        <f t="shared" si="35"/>
        <v>31.393999999999952</v>
      </c>
      <c r="V35" s="44">
        <f>IF(H34="AFIII",VLOOKUP(D35,Sheet1!$A$4:$H$18,5,FALSE),IF(H34="UBIII",VLOOKUP(D35,Sheet1!$A$4:$H$18,8,FALSE),IF(H34="",VLOOKUP(D35,Sheet1!$A$4:$H$18,2,FALSE),"0")))</f>
        <v>2120</v>
      </c>
      <c r="W35" s="44">
        <f t="shared" si="17"/>
        <v>0</v>
      </c>
      <c r="X35" s="48">
        <f t="shared" si="18"/>
        <v>5408</v>
      </c>
      <c r="Y35" s="3" t="str">
        <f t="shared" si="19"/>
        <v>SUCCESS</v>
      </c>
      <c r="Z35" s="3" t="str">
        <f t="shared" si="20"/>
        <v>SUCCESS</v>
      </c>
    </row>
    <row r="36" spans="1:26">
      <c r="A36" s="58">
        <f>IF(H35="AFIII",VLOOKUP(D36,Sheet1!$K$4:$S$19,5,FALSE),IF(H35="UBIII",VLOOKUP(D36,Sheet1!$K$4:$S$19,8,FALSE),VLOOKUP(D36,Sheet1!$K$4:$S$19,2,FALSE)))</f>
        <v>504</v>
      </c>
      <c r="B36" s="80">
        <f t="shared" si="4"/>
        <v>12531.8</v>
      </c>
      <c r="C36" s="60">
        <f t="shared" si="0"/>
        <v>85.824000000000012</v>
      </c>
      <c r="D36" s="40" t="s">
        <v>6</v>
      </c>
      <c r="E36" s="56">
        <f>IF(H35="AFIII",VLOOKUP($D36,Sheet1!$A$34:$K$48,5,FALSE),IF(H35="UBIII",VLOOKUP($D36,Sheet1!$A$34:$K$48,8,FALSE),VLOOKUP($D36,Sheet1!$A$34:$K$48,2,FALSE)))</f>
        <v>2.86</v>
      </c>
      <c r="F36" s="56">
        <f>ROUNDDOWN((IF(H35="AFIII",VLOOKUP($D36,Sheet1!$A$34:$K$48,5,FALSE),IF(H35="UBIII",VLOOKUP($D36,Sheet1!$A$34:$K$48,8,FALSE),VLOOKUP($D36,Sheet1!$A$34:$K$48,2,FALSE))))*0.85,2)</f>
        <v>2.4300000000000002</v>
      </c>
      <c r="G36" s="56">
        <f t="shared" si="5"/>
        <v>2.86</v>
      </c>
      <c r="H36" s="61" t="s">
        <v>84</v>
      </c>
      <c r="I36" s="56">
        <f>I35-G36</f>
        <v>7.1400000000000006</v>
      </c>
      <c r="K36" s="56">
        <f t="shared" si="38"/>
        <v>5.6840000000000011</v>
      </c>
      <c r="L36" s="56">
        <f t="shared" si="37"/>
        <v>25.673999999999953</v>
      </c>
      <c r="O36" s="56">
        <f t="shared" si="28"/>
        <v>8.6639999999999944</v>
      </c>
      <c r="Q36" s="56">
        <f t="shared" si="39"/>
        <v>6.6840000000000011</v>
      </c>
      <c r="R36" s="56">
        <f t="shared" si="25"/>
        <v>10.693999999999996</v>
      </c>
      <c r="U36" s="71">
        <f t="shared" si="35"/>
        <v>28.533999999999953</v>
      </c>
      <c r="V36" s="44">
        <f>IF(H35="AFIII",VLOOKUP(D36,Sheet1!$A$4:$H$18,5,FALSE),IF(H35="UBIII",VLOOKUP(D36,Sheet1!$A$4:$H$18,8,FALSE),IF(H35="",VLOOKUP(D36,Sheet1!$A$4:$H$18,2,FALSE),"0")))</f>
        <v>1768</v>
      </c>
      <c r="W36" s="44">
        <f t="shared" si="17"/>
        <v>0</v>
      </c>
      <c r="X36" s="48">
        <f t="shared" si="18"/>
        <v>3640</v>
      </c>
      <c r="Y36" s="3" t="str">
        <f t="shared" si="19"/>
        <v>SUCCESS</v>
      </c>
      <c r="Z36" s="3" t="str">
        <f t="shared" si="20"/>
        <v>SUCCESS</v>
      </c>
    </row>
    <row r="37" spans="1:26">
      <c r="A37" s="58">
        <f>IF(H36="AFIII",VLOOKUP(D37,Sheet1!$K$4:$S$19,5,FALSE),IF(H36="UBIII",VLOOKUP(D37,Sheet1!$K$4:$S$19,8,FALSE),VLOOKUP(D37,Sheet1!$K$4:$S$19,2,FALSE)))</f>
        <v>168</v>
      </c>
      <c r="B37" s="80">
        <f t="shared" si="4"/>
        <v>12699.8</v>
      </c>
      <c r="C37" s="60">
        <f t="shared" si="0"/>
        <v>88.214000000000013</v>
      </c>
      <c r="D37" s="40" t="s">
        <v>12</v>
      </c>
      <c r="E37" s="56">
        <f>IF(H36="AFIII",VLOOKUP($D37,Sheet1!$A$34:$K$48,5,FALSE),IF(H36="UBIII",VLOOKUP($D37,Sheet1!$A$34:$K$48,8,FALSE),VLOOKUP($D37,Sheet1!$A$34:$K$48,2,FALSE)))</f>
        <v>1.67</v>
      </c>
      <c r="F37" s="56">
        <f>ROUNDDOWN((IF(H36="AFIII",VLOOKUP($D37,Sheet1!$A$34:$K$48,5,FALSE),IF(H36="UBIII",VLOOKUP($D37,Sheet1!$A$34:$K$48,8,FALSE),VLOOKUP($D37,Sheet1!$A$34:$K$48,2,FALSE))))*0.85,2)</f>
        <v>1.41</v>
      </c>
      <c r="G37" s="56">
        <f t="shared" si="5"/>
        <v>2.39</v>
      </c>
      <c r="H37" s="61" t="s">
        <v>122</v>
      </c>
      <c r="I37" s="56">
        <v>10</v>
      </c>
      <c r="K37" s="56">
        <f t="shared" si="38"/>
        <v>3.2940000000000009</v>
      </c>
      <c r="L37" s="56">
        <f t="shared" si="37"/>
        <v>23.283999999999953</v>
      </c>
      <c r="O37" s="56">
        <f t="shared" si="28"/>
        <v>6.2739999999999938</v>
      </c>
      <c r="Q37" s="56">
        <f t="shared" si="39"/>
        <v>4.2940000000000005</v>
      </c>
      <c r="R37" s="56">
        <f t="shared" si="25"/>
        <v>8.3039999999999949</v>
      </c>
      <c r="U37" s="71">
        <f t="shared" si="35"/>
        <v>26.143999999999952</v>
      </c>
      <c r="V37" s="44">
        <f>IF(H36="AFIII",VLOOKUP(D37,Sheet1!$A$4:$H$18,5,FALSE),IF(H36="UBIII",VLOOKUP(D37,Sheet1!$A$4:$H$18,8,FALSE),IF(H36="",VLOOKUP(D37,Sheet1!$A$4:$H$18,2,FALSE),"0")))</f>
        <v>265</v>
      </c>
      <c r="W37" s="44">
        <f t="shared" si="17"/>
        <v>0</v>
      </c>
      <c r="X37" s="48">
        <f t="shared" si="18"/>
        <v>3375</v>
      </c>
      <c r="Y37" s="3" t="str">
        <f t="shared" si="19"/>
        <v>SUCCESS</v>
      </c>
      <c r="Z37" s="3" t="str">
        <f t="shared" si="20"/>
        <v>SUCCESS</v>
      </c>
    </row>
    <row r="38" spans="1:26">
      <c r="A38" s="58">
        <f>IF(H37="AFIII",VLOOKUP(D38,Sheet1!$K$4:$S$19,5,FALSE),IF(H37="UBIII",VLOOKUP(D38,Sheet1!$K$4:$S$19,8,FALSE),VLOOKUP(D38,Sheet1!$K$4:$S$19,2,FALSE)))</f>
        <v>280</v>
      </c>
      <c r="B38" s="80">
        <f t="shared" si="4"/>
        <v>12979.8</v>
      </c>
      <c r="C38" s="60">
        <f t="shared" si="0"/>
        <v>91.074000000000012</v>
      </c>
      <c r="D38" s="40" t="s">
        <v>14</v>
      </c>
      <c r="E38" s="56">
        <f>IF(H37="AFIII",VLOOKUP($D38,Sheet1!$A$34:$K$48,5,FALSE),IF(H37="UBIII",VLOOKUP($D38,Sheet1!$A$34:$K$48,8,FALSE),VLOOKUP($D38,Sheet1!$A$34:$K$48,2,FALSE)))</f>
        <v>2.86</v>
      </c>
      <c r="F38" s="56">
        <f>ROUNDDOWN((IF(H37="AFIII",VLOOKUP($D38,Sheet1!$A$34:$K$48,5,FALSE),IF(H37="UBIII",VLOOKUP($D38,Sheet1!$A$34:$K$48,8,FALSE),VLOOKUP($D38,Sheet1!$A$34:$K$48,2,FALSE))))*0.85,2)</f>
        <v>2.4300000000000002</v>
      </c>
      <c r="G38" s="56">
        <f t="shared" si="5"/>
        <v>2.86</v>
      </c>
      <c r="H38" s="61" t="s">
        <v>122</v>
      </c>
      <c r="I38" s="56">
        <f>I37-G38</f>
        <v>7.1400000000000006</v>
      </c>
      <c r="K38" s="56">
        <v>15</v>
      </c>
      <c r="L38" s="56">
        <f t="shared" si="37"/>
        <v>20.423999999999953</v>
      </c>
      <c r="O38" s="56">
        <f t="shared" si="28"/>
        <v>3.4139999999999939</v>
      </c>
      <c r="Q38" s="56">
        <f t="shared" si="39"/>
        <v>1.4340000000000006</v>
      </c>
      <c r="R38" s="56">
        <f t="shared" si="25"/>
        <v>5.4439999999999955</v>
      </c>
      <c r="U38" s="71">
        <f t="shared" si="35"/>
        <v>23.283999999999953</v>
      </c>
      <c r="V38" s="44">
        <f>IF(H37="AFIII",VLOOKUP(D38,Sheet1!$A$4:$H$18,5,FALSE),IF(H37="UBIII",VLOOKUP(D38,Sheet1!$A$4:$H$18,8,FALSE),IF(H37="",VLOOKUP(D38,Sheet1!$A$4:$H$18,2,FALSE),"0")))</f>
        <v>884</v>
      </c>
      <c r="W38" s="44">
        <f t="shared" si="17"/>
        <v>7033</v>
      </c>
      <c r="X38" s="48">
        <f t="shared" si="18"/>
        <v>9524</v>
      </c>
      <c r="Y38" s="3" t="str">
        <f t="shared" si="19"/>
        <v>SUCCESS</v>
      </c>
      <c r="Z38" s="3" t="str">
        <f t="shared" si="20"/>
        <v>SUCCESS</v>
      </c>
    </row>
    <row r="39" spans="1:26">
      <c r="A39" s="58">
        <f>IF(H38="AFIII",VLOOKUP(D39,Sheet1!$K$4:$S$19,5,FALSE),IF(H38="UBIII",VLOOKUP(D39,Sheet1!$K$4:$S$19,8,FALSE),VLOOKUP(D39,Sheet1!$K$4:$S$19,2,FALSE)))</f>
        <v>168</v>
      </c>
      <c r="B39" s="80">
        <f t="shared" si="4"/>
        <v>13147.8</v>
      </c>
      <c r="C39" s="60">
        <f t="shared" si="0"/>
        <v>93.464000000000013</v>
      </c>
      <c r="D39" s="40" t="s">
        <v>4</v>
      </c>
      <c r="E39" s="56">
        <f>IF(H38="AFIII",VLOOKUP($D39,Sheet1!$A$34:$K$48,5,FALSE),IF(H38="UBIII",VLOOKUP($D39,Sheet1!$A$34:$K$48,8,FALSE),VLOOKUP($D39,Sheet1!$A$34:$K$48,2,FALSE)))</f>
        <v>1.67</v>
      </c>
      <c r="F39" s="56">
        <f>ROUNDDOWN((IF(H38="AFIII",VLOOKUP($D39,Sheet1!$A$34:$K$48,5,FALSE),IF(H38="UBIII",VLOOKUP($D39,Sheet1!$A$34:$K$48,8,FALSE),VLOOKUP($D39,Sheet1!$A$34:$K$48,2,FALSE))))*0.85,2)</f>
        <v>1.41</v>
      </c>
      <c r="G39" s="56">
        <f t="shared" si="5"/>
        <v>2.39</v>
      </c>
      <c r="H39" s="61" t="s">
        <v>84</v>
      </c>
      <c r="I39" s="56">
        <v>10</v>
      </c>
      <c r="K39" s="56">
        <f t="shared" si="38"/>
        <v>12.61</v>
      </c>
      <c r="L39" s="56">
        <f t="shared" si="37"/>
        <v>18.033999999999953</v>
      </c>
      <c r="M39" s="61" t="s">
        <v>135</v>
      </c>
      <c r="O39" s="56">
        <f t="shared" si="28"/>
        <v>1.0239999999999938</v>
      </c>
      <c r="P39" s="61" t="s">
        <v>17</v>
      </c>
      <c r="Q39" s="56">
        <v>21</v>
      </c>
      <c r="R39" s="56">
        <f t="shared" si="25"/>
        <v>3.0539999999999954</v>
      </c>
      <c r="U39" s="71">
        <f>U38-G39</f>
        <v>20.893999999999952</v>
      </c>
      <c r="V39" s="44">
        <f>IF(H38="AFIII",VLOOKUP(D39,Sheet1!$A$4:$H$18,5,FALSE),IF(H38="UBIII",VLOOKUP(D39,Sheet1!$A$4:$H$18,8,FALSE),IF(H38="",VLOOKUP(D39,Sheet1!$A$4:$H$18,2,FALSE),"0")))</f>
        <v>442</v>
      </c>
      <c r="W39" s="44">
        <f t="shared" si="17"/>
        <v>7033</v>
      </c>
      <c r="X39" s="48">
        <f t="shared" si="18"/>
        <v>11064</v>
      </c>
      <c r="Y39" s="3" t="str">
        <f t="shared" si="19"/>
        <v>SUCCESS</v>
      </c>
      <c r="Z39" s="3" t="str">
        <f t="shared" si="20"/>
        <v>SUCCESS</v>
      </c>
    </row>
    <row r="40" spans="1:26">
      <c r="A40" s="58">
        <f>IF(H39="AFIII",VLOOKUP(D40,Sheet1!$K$4:$S$19,5,FALSE),IF(H39="UBIII",VLOOKUP(D40,Sheet1!$K$4:$S$19,8,FALSE),VLOOKUP(D40,Sheet1!$K$4:$S$19,2,FALSE)))</f>
        <v>504</v>
      </c>
      <c r="B40" s="80">
        <f t="shared" si="4"/>
        <v>13651.8</v>
      </c>
      <c r="C40" s="60">
        <f t="shared" si="0"/>
        <v>96.324000000000012</v>
      </c>
      <c r="D40" s="40" t="s">
        <v>6</v>
      </c>
      <c r="E40" s="56">
        <f>IF(H39="AFIII",VLOOKUP($D40,Sheet1!$A$34:$K$48,5,FALSE),IF(H39="UBIII",VLOOKUP($D40,Sheet1!$A$34:$K$48,8,FALSE),VLOOKUP($D40,Sheet1!$A$34:$K$48,2,FALSE)))</f>
        <v>2.86</v>
      </c>
      <c r="F40" s="56">
        <f>ROUNDDOWN((IF(H39="AFIII",VLOOKUP($D40,Sheet1!$A$34:$K$48,5,FALSE),IF(H39="UBIII",VLOOKUP($D40,Sheet1!$A$34:$K$48,8,FALSE),VLOOKUP($D40,Sheet1!$A$34:$K$48,2,FALSE))))*0.85,2)</f>
        <v>2.4300000000000002</v>
      </c>
      <c r="G40" s="56">
        <f t="shared" si="5"/>
        <v>2.86</v>
      </c>
      <c r="H40" s="61" t="s">
        <v>84</v>
      </c>
      <c r="I40" s="56">
        <f>I39-G40</f>
        <v>7.1400000000000006</v>
      </c>
      <c r="K40" s="56">
        <f t="shared" si="38"/>
        <v>9.75</v>
      </c>
      <c r="L40" s="56">
        <f t="shared" si="37"/>
        <v>15.173999999999953</v>
      </c>
      <c r="P40" s="61" t="s">
        <v>136</v>
      </c>
      <c r="Q40" s="56">
        <f>Q39-G40</f>
        <v>18.14</v>
      </c>
      <c r="R40" s="56">
        <f>R39-G40</f>
        <v>0.19399999999999551</v>
      </c>
      <c r="U40" s="71">
        <f t="shared" si="35"/>
        <v>18.033999999999953</v>
      </c>
      <c r="V40" s="44">
        <f>IF(H39="AFIII",VLOOKUP(D40,Sheet1!$A$4:$H$18,5,FALSE),IF(H39="UBIII",VLOOKUP(D40,Sheet1!$A$4:$H$18,8,FALSE),IF(H39="",VLOOKUP(D40,Sheet1!$A$4:$H$18,2,FALSE),"0")))</f>
        <v>1768</v>
      </c>
      <c r="W40" s="44">
        <f t="shared" si="17"/>
        <v>0</v>
      </c>
      <c r="X40" s="48">
        <f t="shared" si="18"/>
        <v>9296</v>
      </c>
      <c r="Y40" s="3" t="str">
        <f t="shared" si="19"/>
        <v>SUCCESS</v>
      </c>
      <c r="Z40" s="3" t="str">
        <f t="shared" si="20"/>
        <v>SUCCESS</v>
      </c>
    </row>
    <row r="41" spans="1:26">
      <c r="A41" s="58">
        <f>IF(H40="AFIII",VLOOKUP(D41,Sheet1!$K$4:$S$19,5,FALSE),IF(H40="UBIII",VLOOKUP(D41,Sheet1!$K$4:$S$19,8,FALSE),VLOOKUP(D41,Sheet1!$K$4:$S$19,2,FALSE)))</f>
        <v>504</v>
      </c>
      <c r="B41" s="80">
        <f t="shared" si="4"/>
        <v>14155.8</v>
      </c>
      <c r="C41" s="60">
        <f t="shared" si="0"/>
        <v>99.184000000000012</v>
      </c>
      <c r="D41" s="40" t="s">
        <v>6</v>
      </c>
      <c r="E41" s="56">
        <f>IF(H40="AFIII",VLOOKUP($D41,Sheet1!$A$34:$K$48,5,FALSE),IF(H40="UBIII",VLOOKUP($D41,Sheet1!$A$34:$K$48,8,FALSE),VLOOKUP($D41,Sheet1!$A$34:$K$48,2,FALSE)))</f>
        <v>2.86</v>
      </c>
      <c r="F41" s="56">
        <f>ROUNDDOWN((IF(H40="AFIII",VLOOKUP($D41,Sheet1!$A$34:$K$48,5,FALSE),IF(H40="UBIII",VLOOKUP($D41,Sheet1!$A$34:$K$48,8,FALSE),VLOOKUP($D41,Sheet1!$A$34:$K$48,2,FALSE))))*0.85,2)</f>
        <v>2.4300000000000002</v>
      </c>
      <c r="G41" s="56">
        <f t="shared" si="5"/>
        <v>2.86</v>
      </c>
      <c r="H41" s="61" t="s">
        <v>125</v>
      </c>
      <c r="I41" s="56">
        <f>I40-G41</f>
        <v>4.2800000000000011</v>
      </c>
      <c r="K41" s="56">
        <f t="shared" si="38"/>
        <v>6.8900000000000006</v>
      </c>
      <c r="L41" s="56">
        <f t="shared" si="37"/>
        <v>12.313999999999954</v>
      </c>
      <c r="Q41" s="56">
        <f t="shared" ref="Q41:Q54" si="41">Q40-G41</f>
        <v>15.280000000000001</v>
      </c>
      <c r="U41" s="71">
        <f t="shared" si="35"/>
        <v>15.173999999999953</v>
      </c>
      <c r="V41" s="44">
        <f>IF(H40="AFIII",VLOOKUP(D41,Sheet1!$A$4:$H$18,5,FALSE),IF(H40="UBIII",VLOOKUP(D41,Sheet1!$A$4:$H$18,8,FALSE),IF(H40="",VLOOKUP(D41,Sheet1!$A$4:$H$18,2,FALSE),"0")))</f>
        <v>1768</v>
      </c>
      <c r="W41" s="44">
        <f t="shared" si="17"/>
        <v>0</v>
      </c>
      <c r="X41" s="48">
        <f t="shared" si="18"/>
        <v>7528</v>
      </c>
      <c r="Y41" s="3" t="str">
        <f t="shared" si="19"/>
        <v>SUCCESS</v>
      </c>
      <c r="Z41" s="3" t="str">
        <f t="shared" si="20"/>
        <v>SUCCESS</v>
      </c>
    </row>
    <row r="42" spans="1:26">
      <c r="A42" s="58">
        <f>IF(H41="AFIII",VLOOKUP(D42,Sheet1!$K$4:$S$19,5,FALSE),IF(H41="UBIII",VLOOKUP(D42,Sheet1!$K$4:$S$19,8,FALSE),VLOOKUP(D42,Sheet1!$K$4:$S$19,2,FALSE)))</f>
        <v>496.8</v>
      </c>
      <c r="B42" s="80">
        <f t="shared" si="4"/>
        <v>14652.599999999999</v>
      </c>
      <c r="C42" s="60">
        <f t="shared" si="0"/>
        <v>102.53000000000002</v>
      </c>
      <c r="D42" s="40" t="s">
        <v>128</v>
      </c>
      <c r="E42" s="56">
        <f>IF(H41="AFIII",VLOOKUP($D42,Sheet1!$A$34:$K$48,5,FALSE),IF(H41="UBIII",VLOOKUP($D42,Sheet1!$A$34:$K$48,8,FALSE),VLOOKUP($D42,Sheet1!$A$34:$K$48,2,FALSE)))</f>
        <v>3.3460000000000001</v>
      </c>
      <c r="F42" s="56">
        <f>ROUNDDOWN((IF(H41="AFIII",VLOOKUP($D42,Sheet1!$A$34:$K$48,5,FALSE),IF(H41="UBIII",VLOOKUP($D42,Sheet1!$A$34:$K$48,8,FALSE),VLOOKUP($D42,Sheet1!$A$34:$K$48,2,FALSE))))*0.85,2)</f>
        <v>2.84</v>
      </c>
      <c r="G42" s="56">
        <f t="shared" si="5"/>
        <v>3.3460000000000001</v>
      </c>
      <c r="H42" s="61" t="s">
        <v>125</v>
      </c>
      <c r="I42" s="56">
        <v>10</v>
      </c>
      <c r="K42" s="56">
        <f t="shared" si="38"/>
        <v>3.5440000000000005</v>
      </c>
      <c r="L42" s="56">
        <f t="shared" si="37"/>
        <v>8.9679999999999538</v>
      </c>
      <c r="Q42" s="56">
        <f t="shared" si="41"/>
        <v>11.934000000000001</v>
      </c>
      <c r="U42" s="71">
        <f t="shared" si="35"/>
        <v>11.827999999999953</v>
      </c>
      <c r="V42" s="44">
        <f>IF(H41="AFIII",VLOOKUP(D42,Sheet1!$A$4:$H$18,5,FALSE),IF(H41="UBIII",VLOOKUP(D42,Sheet1!$A$4:$H$18,8,FALSE),IF(H41="",VLOOKUP(D42,Sheet1!$A$4:$H$18,2,FALSE),"0")))</f>
        <v>2120</v>
      </c>
      <c r="W42" s="44">
        <f t="shared" si="17"/>
        <v>0</v>
      </c>
      <c r="X42" s="48">
        <f t="shared" si="18"/>
        <v>5408</v>
      </c>
      <c r="Y42" s="3" t="str">
        <f t="shared" si="19"/>
        <v>SUCCESS</v>
      </c>
      <c r="Z42" s="3" t="str">
        <f t="shared" si="20"/>
        <v>SUCCESS</v>
      </c>
    </row>
    <row r="43" spans="1:26">
      <c r="A43" s="58">
        <f>IF(H42="AFIII",VLOOKUP(D43,Sheet1!$K$4:$S$19,5,FALSE),IF(H42="UBIII",VLOOKUP(D43,Sheet1!$K$4:$S$19,8,FALSE),VLOOKUP(D43,Sheet1!$K$4:$S$19,2,FALSE)))</f>
        <v>504</v>
      </c>
      <c r="B43" s="80">
        <f t="shared" si="4"/>
        <v>15156.599999999999</v>
      </c>
      <c r="C43" s="60">
        <f t="shared" si="0"/>
        <v>105.39000000000001</v>
      </c>
      <c r="D43" s="40" t="s">
        <v>6</v>
      </c>
      <c r="E43" s="56">
        <f>IF(H42="AFIII",VLOOKUP($D43,Sheet1!$A$34:$K$48,5,FALSE),IF(H42="UBIII",VLOOKUP($D43,Sheet1!$A$34:$K$48,8,FALSE),VLOOKUP($D43,Sheet1!$A$34:$K$48,2,FALSE)))</f>
        <v>2.86</v>
      </c>
      <c r="F43" s="56">
        <f>ROUNDDOWN((IF(H42="AFIII",VLOOKUP($D43,Sheet1!$A$34:$K$48,5,FALSE),IF(H42="UBIII",VLOOKUP($D43,Sheet1!$A$34:$K$48,8,FALSE),VLOOKUP($D43,Sheet1!$A$34:$K$48,2,FALSE))))*0.85,2)</f>
        <v>2.4300000000000002</v>
      </c>
      <c r="G43" s="56">
        <f t="shared" si="5"/>
        <v>2.86</v>
      </c>
      <c r="H43" s="61" t="s">
        <v>125</v>
      </c>
      <c r="I43" s="56">
        <f>I42-G43</f>
        <v>7.1400000000000006</v>
      </c>
      <c r="K43" s="56">
        <f t="shared" si="38"/>
        <v>0.68400000000000061</v>
      </c>
      <c r="L43" s="56">
        <f t="shared" si="37"/>
        <v>6.1079999999999544</v>
      </c>
      <c r="Q43" s="56">
        <f t="shared" si="41"/>
        <v>9.0740000000000016</v>
      </c>
      <c r="U43" s="71">
        <f t="shared" si="35"/>
        <v>8.9679999999999538</v>
      </c>
      <c r="V43" s="44">
        <f>IF(H42="AFIII",VLOOKUP(D43,Sheet1!$A$4:$H$18,5,FALSE),IF(H42="UBIII",VLOOKUP(D43,Sheet1!$A$4:$H$18,8,FALSE),IF(H42="",VLOOKUP(D43,Sheet1!$A$4:$H$18,2,FALSE),"0")))</f>
        <v>1768</v>
      </c>
      <c r="W43" s="44">
        <f t="shared" si="17"/>
        <v>0</v>
      </c>
      <c r="X43" s="48">
        <f t="shared" si="18"/>
        <v>3640</v>
      </c>
      <c r="Y43" s="3" t="str">
        <f t="shared" si="19"/>
        <v>SUCCESS</v>
      </c>
      <c r="Z43" s="3" t="str">
        <f t="shared" si="20"/>
        <v>SUCCESS</v>
      </c>
    </row>
    <row r="44" spans="1:26">
      <c r="A44" s="58">
        <f>IF(H43="AFIII",VLOOKUP(D44,Sheet1!$K$4:$S$19,5,FALSE),IF(H43="UBIII",VLOOKUP(D44,Sheet1!$K$4:$S$19,8,FALSE),VLOOKUP(D44,Sheet1!$K$4:$S$19,2,FALSE)))</f>
        <v>496.8</v>
      </c>
      <c r="B44" s="80">
        <f t="shared" si="4"/>
        <v>15653.399999999998</v>
      </c>
      <c r="C44" s="60">
        <f t="shared" si="0"/>
        <v>108.73600000000002</v>
      </c>
      <c r="D44" s="40" t="s">
        <v>128</v>
      </c>
      <c r="E44" s="56">
        <f>IF(H43="AFIII",VLOOKUP($D44,Sheet1!$A$34:$K$48,5,FALSE),IF(H43="UBIII",VLOOKUP($D44,Sheet1!$A$34:$K$48,8,FALSE),VLOOKUP($D44,Sheet1!$A$34:$K$48,2,FALSE)))</f>
        <v>3.3460000000000001</v>
      </c>
      <c r="F44" s="56">
        <f>ROUNDDOWN((IF(H43="AFIII",VLOOKUP($D44,Sheet1!$A$34:$K$48,5,FALSE),IF(H43="UBIII",VLOOKUP($D44,Sheet1!$A$34:$K$48,8,FALSE),VLOOKUP($D44,Sheet1!$A$34:$K$48,2,FALSE))))*0.85,2)</f>
        <v>2.84</v>
      </c>
      <c r="G44" s="56">
        <f t="shared" si="5"/>
        <v>3.3460000000000001</v>
      </c>
      <c r="H44" s="61" t="s">
        <v>84</v>
      </c>
      <c r="I44" s="56">
        <f t="shared" ref="I44" si="42">I43-G44</f>
        <v>3.7940000000000005</v>
      </c>
      <c r="K44" s="56">
        <f t="shared" si="38"/>
        <v>-2.6619999999999995</v>
      </c>
      <c r="L44" s="56">
        <f t="shared" si="37"/>
        <v>2.7619999999999543</v>
      </c>
      <c r="Q44" s="56">
        <f t="shared" si="41"/>
        <v>5.7280000000000015</v>
      </c>
      <c r="U44" s="71">
        <f t="shared" si="35"/>
        <v>5.6219999999999537</v>
      </c>
      <c r="V44" s="44">
        <f>IF(H43="AFIII",VLOOKUP(D44,Sheet1!$A$4:$H$18,5,FALSE),IF(H43="UBIII",VLOOKUP(D44,Sheet1!$A$4:$H$18,8,FALSE),IF(H43="",VLOOKUP(D44,Sheet1!$A$4:$H$18,2,FALSE),"0")))</f>
        <v>2120</v>
      </c>
      <c r="W44" s="44">
        <f t="shared" si="17"/>
        <v>0</v>
      </c>
      <c r="X44" s="48">
        <f t="shared" si="18"/>
        <v>1520</v>
      </c>
      <c r="Y44" s="3" t="str">
        <f t="shared" si="19"/>
        <v>SUCCESS</v>
      </c>
      <c r="Z44" s="3" t="str">
        <f t="shared" si="20"/>
        <v>ERROR</v>
      </c>
    </row>
    <row r="45" spans="1:26">
      <c r="A45" s="58">
        <f>IF(H44="AFIII",VLOOKUP(D45,Sheet1!$K$4:$S$19,5,FALSE),IF(H44="UBIII",VLOOKUP(D45,Sheet1!$K$4:$S$19,8,FALSE),VLOOKUP(D45,Sheet1!$K$4:$S$19,2,FALSE)))</f>
        <v>168</v>
      </c>
      <c r="B45" s="80">
        <f t="shared" si="4"/>
        <v>15821.399999999998</v>
      </c>
      <c r="C45" s="60">
        <f t="shared" si="0"/>
        <v>111.12600000000002</v>
      </c>
      <c r="D45" s="40" t="s">
        <v>12</v>
      </c>
      <c r="E45" s="56">
        <f>IF(H44="AFIII",VLOOKUP($D45,Sheet1!$A$34:$K$48,5,FALSE),IF(H44="UBIII",VLOOKUP($D45,Sheet1!$A$34:$K$48,8,FALSE),VLOOKUP($D45,Sheet1!$A$34:$K$48,2,FALSE)))</f>
        <v>1.67</v>
      </c>
      <c r="F45" s="56">
        <f>ROUNDDOWN((IF(H44="AFIII",VLOOKUP($D45,Sheet1!$A$34:$K$48,5,FALSE),IF(H44="UBIII",VLOOKUP($D45,Sheet1!$A$34:$K$48,8,FALSE),VLOOKUP($D45,Sheet1!$A$34:$K$48,2,FALSE))))*0.85,2)</f>
        <v>1.41</v>
      </c>
      <c r="G45" s="56">
        <f t="shared" si="5"/>
        <v>2.39</v>
      </c>
      <c r="H45" s="61" t="s">
        <v>122</v>
      </c>
      <c r="I45" s="56">
        <v>10</v>
      </c>
      <c r="K45" s="56">
        <f t="shared" si="38"/>
        <v>-5.0519999999999996</v>
      </c>
      <c r="L45" s="56">
        <f t="shared" si="37"/>
        <v>0.37199999999995415</v>
      </c>
      <c r="Q45" s="56">
        <f t="shared" si="41"/>
        <v>3.3380000000000014</v>
      </c>
      <c r="U45" s="71">
        <f t="shared" si="35"/>
        <v>3.2319999999999536</v>
      </c>
      <c r="V45" s="44">
        <f>IF(H44="AFIII",VLOOKUP(D45,Sheet1!$A$4:$H$18,5,FALSE),IF(H44="UBIII",VLOOKUP(D45,Sheet1!$A$4:$H$18,8,FALSE),IF(H44="",VLOOKUP(D45,Sheet1!$A$4:$H$18,2,FALSE),"0")))</f>
        <v>265</v>
      </c>
      <c r="W45" s="44">
        <f t="shared" si="17"/>
        <v>0</v>
      </c>
      <c r="X45" s="48">
        <f t="shared" si="18"/>
        <v>1255</v>
      </c>
      <c r="Y45" s="3" t="str">
        <f t="shared" si="19"/>
        <v>SUCCESS</v>
      </c>
      <c r="Z45" s="3" t="str">
        <f t="shared" si="20"/>
        <v>ERROR</v>
      </c>
    </row>
    <row r="46" spans="1:26">
      <c r="A46" s="58">
        <f>IF(H45="AFIII",VLOOKUP(D46,Sheet1!$K$4:$S$19,5,FALSE),IF(H45="UBIII",VLOOKUP(D46,Sheet1!$K$4:$S$19,8,FALSE),VLOOKUP(D46,Sheet1!$K$4:$S$19,2,FALSE)))</f>
        <v>295</v>
      </c>
      <c r="B46" s="80">
        <f t="shared" si="4"/>
        <v>16116.399999999998</v>
      </c>
      <c r="C46" s="60">
        <f>C45+G46</f>
        <v>113.98600000000002</v>
      </c>
      <c r="D46" s="40" t="s">
        <v>19</v>
      </c>
      <c r="E46" s="56">
        <f>IF(H45="AFIII",VLOOKUP($D46,Sheet1!$A$34:$K$48,5,FALSE),IF(H45="UBIII",VLOOKUP($D46,Sheet1!$A$34:$K$48,8,FALSE),VLOOKUP($D46,Sheet1!$A$34:$K$48,2,FALSE)))</f>
        <v>2.86</v>
      </c>
      <c r="F46" s="56">
        <f>ROUNDDOWN((IF(H45="AFIII",VLOOKUP($D46,Sheet1!$A$34:$K$48,5,FALSE),IF(H45="UBIII",VLOOKUP($D46,Sheet1!$A$34:$K$48,8,FALSE),VLOOKUP($D46,Sheet1!$A$34:$K$48,2,FALSE))))*0.85,2)</f>
        <v>2.4300000000000002</v>
      </c>
      <c r="G46" s="56">
        <f t="shared" si="5"/>
        <v>2.86</v>
      </c>
      <c r="H46" s="61" t="s">
        <v>122</v>
      </c>
      <c r="I46" s="56">
        <f>I45-G46</f>
        <v>7.1400000000000006</v>
      </c>
      <c r="J46" s="61" t="s">
        <v>138</v>
      </c>
      <c r="K46" s="56">
        <f t="shared" ref="K46" si="43">K45-G46</f>
        <v>-7.911999999999999</v>
      </c>
      <c r="L46" s="56">
        <f t="shared" ref="L46" si="44">L45-G46</f>
        <v>-2.4880000000000457</v>
      </c>
      <c r="P46" s="61" t="s">
        <v>17</v>
      </c>
      <c r="Q46" s="56">
        <v>24</v>
      </c>
      <c r="U46" s="71">
        <f t="shared" si="35"/>
        <v>0.3719999999999537</v>
      </c>
      <c r="V46" s="44">
        <f>IF(H45="AFIII",VLOOKUP(D46,Sheet1!$A$4:$H$18,5,FALSE),IF(H45="UBIII",VLOOKUP(D46,Sheet1!$A$4:$H$18,8,FALSE),IF(H45="",VLOOKUP(D46,Sheet1!$A$4:$H$18,2,FALSE),"0")))</f>
        <v>1060</v>
      </c>
      <c r="W46" s="44">
        <f t="shared" si="17"/>
        <v>7033</v>
      </c>
      <c r="X46" s="48">
        <f t="shared" si="18"/>
        <v>7228</v>
      </c>
      <c r="Y46" s="3" t="str">
        <f t="shared" si="19"/>
        <v>SUCCESS</v>
      </c>
      <c r="Z46" s="3" t="str">
        <f t="shared" si="20"/>
        <v>ERROR</v>
      </c>
    </row>
    <row r="47" spans="1:26">
      <c r="A47" s="58">
        <f>IF(H46="AFIII",VLOOKUP(D47,Sheet1!$K$4:$S$19,5,FALSE),IF(H46="UBIII",VLOOKUP(D47,Sheet1!$K$4:$S$19,8,FALSE),VLOOKUP(D47,Sheet1!$K$4:$S$19,2,FALSE)))</f>
        <v>168</v>
      </c>
      <c r="B47" s="80">
        <f t="shared" si="4"/>
        <v>16284.399999999998</v>
      </c>
      <c r="C47" s="60">
        <f>C46+G47</f>
        <v>116.37600000000002</v>
      </c>
      <c r="D47" s="40" t="s">
        <v>4</v>
      </c>
      <c r="E47" s="56">
        <f>IF(H46="AFIII",VLOOKUP($D47,Sheet1!$A$34:$K$48,5,FALSE),IF(H46="UBIII",VLOOKUP($D47,Sheet1!$A$34:$K$48,8,FALSE),VLOOKUP($D47,Sheet1!$A$34:$K$48,2,FALSE)))</f>
        <v>1.67</v>
      </c>
      <c r="F47" s="56">
        <f>ROUNDDOWN((IF(H46="AFIII",VLOOKUP($D47,Sheet1!$A$34:$K$48,5,FALSE),IF(H46="UBIII",VLOOKUP($D47,Sheet1!$A$34:$K$48,8,FALSE),VLOOKUP($D47,Sheet1!$A$34:$K$48,2,FALSE))))*0.85,2)</f>
        <v>1.41</v>
      </c>
      <c r="G47" s="56">
        <f t="shared" ref="G47:G52" si="45">IF(M46="迅速",IF(S46="黒魔紋",$F$1,$E$1),IF(S46="黒魔紋",IF(F47&lt;$F$1,$F$1,F47),IF(E47&lt;$E$1,$E$1,E47)))</f>
        <v>2.39</v>
      </c>
      <c r="H47" s="61" t="s">
        <v>84</v>
      </c>
      <c r="I47" s="56">
        <v>10</v>
      </c>
      <c r="J47" s="61" t="s">
        <v>105</v>
      </c>
      <c r="K47" s="56">
        <v>30</v>
      </c>
      <c r="L47" s="56">
        <v>90</v>
      </c>
      <c r="Q47" s="56">
        <f t="shared" si="41"/>
        <v>21.61</v>
      </c>
      <c r="S47" s="61" t="s">
        <v>141</v>
      </c>
      <c r="U47" s="71">
        <f t="shared" si="35"/>
        <v>-2.0180000000000464</v>
      </c>
      <c r="V47" s="44">
        <f>IF(H46="AFIII",VLOOKUP(D47,Sheet1!$A$4:$H$18,5,FALSE),IF(H46="UBIII",VLOOKUP(D47,Sheet1!$A$4:$H$18,8,FALSE),IF(H46="",VLOOKUP(D47,Sheet1!$A$4:$H$18,2,FALSE),"0")))</f>
        <v>442</v>
      </c>
      <c r="W47" s="44">
        <f t="shared" ref="W47:W76" si="46">IF(H46="UBIII",$X$2,0)</f>
        <v>7033</v>
      </c>
      <c r="X47" s="48">
        <f t="shared" ref="X47:X76" si="47">IF(D47="フレア",IF(M47="コンバート",$X$1,0),IF(X46-V47+W47&gt;$X$3,$X$3-V47,X46-V47+W47))</f>
        <v>11064</v>
      </c>
      <c r="Y47" s="3" t="str">
        <f t="shared" si="19"/>
        <v>SUCCESS</v>
      </c>
      <c r="Z47" s="3" t="str">
        <f t="shared" si="20"/>
        <v>ERROR</v>
      </c>
    </row>
    <row r="48" spans="1:26">
      <c r="A48" s="58">
        <f>IF(H47="AFIII",VLOOKUP(D48,Sheet1!$K$4:$S$19,5,FALSE),IF(H47="UBIII",VLOOKUP(D48,Sheet1!$K$4:$S$19,8,FALSE),VLOOKUP(D48,Sheet1!$K$4:$S$19,2,FALSE)))</f>
        <v>504</v>
      </c>
      <c r="B48" s="80">
        <f t="shared" si="4"/>
        <v>16788.399999999998</v>
      </c>
      <c r="C48" s="60">
        <f>C47+G48</f>
        <v>119.23600000000002</v>
      </c>
      <c r="D48" s="40" t="s">
        <v>6</v>
      </c>
      <c r="E48" s="56">
        <f>IF(H47="AFIII",VLOOKUP($D48,Sheet1!$A$34:$K$48,5,FALSE),IF(H47="UBIII",VLOOKUP($D48,Sheet1!$A$34:$K$48,8,FALSE),VLOOKUP($D48,Sheet1!$A$34:$K$48,2,FALSE)))</f>
        <v>2.86</v>
      </c>
      <c r="F48" s="56">
        <f>ROUNDDOWN((IF(H47="AFIII",VLOOKUP($D48,Sheet1!$A$34:$K$48,5,FALSE),IF(H47="UBIII",VLOOKUP($D48,Sheet1!$A$34:$K$48,8,FALSE),VLOOKUP($D48,Sheet1!$A$34:$K$48,2,FALSE))))*0.85,2)</f>
        <v>2.4300000000000002</v>
      </c>
      <c r="G48" s="56">
        <f t="shared" si="45"/>
        <v>2.86</v>
      </c>
      <c r="H48" s="61" t="s">
        <v>84</v>
      </c>
      <c r="I48" s="56">
        <f>I47-G48</f>
        <v>7.1400000000000006</v>
      </c>
      <c r="K48" s="56">
        <f>K47-G48</f>
        <v>27.14</v>
      </c>
      <c r="L48" s="56">
        <f>L47-G48</f>
        <v>87.14</v>
      </c>
      <c r="Q48" s="56">
        <f t="shared" si="41"/>
        <v>18.75</v>
      </c>
      <c r="S48" s="61" t="s">
        <v>87</v>
      </c>
      <c r="T48" s="56">
        <v>30</v>
      </c>
      <c r="U48" s="71">
        <v>90</v>
      </c>
      <c r="V48" s="44">
        <f>IF(H47="AFIII",VLOOKUP(D48,Sheet1!$A$4:$H$18,5,FALSE),IF(H47="UBIII",VLOOKUP(D48,Sheet1!$A$4:$H$18,8,FALSE),IF(H47="",VLOOKUP(D48,Sheet1!$A$4:$H$18,2,FALSE),"0")))</f>
        <v>1768</v>
      </c>
      <c r="W48" s="44">
        <f t="shared" si="46"/>
        <v>0</v>
      </c>
      <c r="X48" s="48">
        <f t="shared" si="47"/>
        <v>9296</v>
      </c>
      <c r="Y48" s="3" t="str">
        <f t="shared" si="19"/>
        <v>SUCCESS</v>
      </c>
      <c r="Z48" s="3" t="str">
        <f t="shared" si="20"/>
        <v>SUCCESS</v>
      </c>
    </row>
    <row r="49" spans="1:26">
      <c r="A49" s="58">
        <f>IF(H48="AFIII",VLOOKUP(D49,Sheet1!$K$4:$S$19,5,FALSE),IF(H48="UBIII",VLOOKUP(D49,Sheet1!$K$4:$S$19,8,FALSE),VLOOKUP(D49,Sheet1!$K$4:$S$19,2,FALSE)))</f>
        <v>504</v>
      </c>
      <c r="B49" s="80">
        <f t="shared" si="4"/>
        <v>17292.399999999998</v>
      </c>
      <c r="C49" s="60">
        <f>C48+G49</f>
        <v>121.66600000000003</v>
      </c>
      <c r="D49" s="40" t="s">
        <v>6</v>
      </c>
      <c r="E49" s="56">
        <f>IF(H48="AFIII",VLOOKUP($D49,Sheet1!$A$34:$K$48,5,FALSE),IF(H48="UBIII",VLOOKUP($D49,Sheet1!$A$34:$K$48,8,FALSE),VLOOKUP($D49,Sheet1!$A$34:$K$48,2,FALSE)))</f>
        <v>2.86</v>
      </c>
      <c r="F49" s="56">
        <f>ROUNDDOWN((IF(H48="AFIII",VLOOKUP($D49,Sheet1!$A$34:$K$48,5,FALSE),IF(H48="UBIII",VLOOKUP($D49,Sheet1!$A$34:$K$48,8,FALSE),VLOOKUP($D49,Sheet1!$A$34:$K$48,2,FALSE))))*0.85,2)</f>
        <v>2.4300000000000002</v>
      </c>
      <c r="G49" s="56">
        <f t="shared" si="45"/>
        <v>2.4300000000000002</v>
      </c>
      <c r="H49" s="61" t="s">
        <v>84</v>
      </c>
      <c r="I49" s="56">
        <f>I48-G49</f>
        <v>4.7100000000000009</v>
      </c>
      <c r="K49" s="56">
        <f t="shared" ref="K49:K73" si="48">K48-G49</f>
        <v>24.71</v>
      </c>
      <c r="L49" s="56">
        <f t="shared" ref="L49:L73" si="49">L48-G49</f>
        <v>84.71</v>
      </c>
      <c r="P49" s="61" t="s">
        <v>131</v>
      </c>
      <c r="Q49" s="56">
        <f t="shared" si="41"/>
        <v>16.32</v>
      </c>
      <c r="R49" s="56">
        <v>60</v>
      </c>
      <c r="S49" s="61" t="s">
        <v>87</v>
      </c>
      <c r="T49" s="56">
        <f>T48-G49</f>
        <v>27.57</v>
      </c>
      <c r="U49" s="71">
        <f>U48-G49</f>
        <v>87.57</v>
      </c>
      <c r="V49" s="44">
        <f>IF(H48="AFIII",VLOOKUP(D49,Sheet1!$A$4:$H$18,5,FALSE),IF(H48="UBIII",VLOOKUP(D49,Sheet1!$A$4:$H$18,8,FALSE),IF(H48="",VLOOKUP(D49,Sheet1!$A$4:$H$18,2,FALSE),"0")))</f>
        <v>1768</v>
      </c>
      <c r="W49" s="44">
        <f t="shared" si="46"/>
        <v>0</v>
      </c>
      <c r="X49" s="48">
        <f t="shared" si="47"/>
        <v>7528</v>
      </c>
      <c r="Y49" s="3" t="str">
        <f t="shared" si="19"/>
        <v>SUCCESS</v>
      </c>
      <c r="Z49" s="3" t="str">
        <f t="shared" si="20"/>
        <v>SUCCESS</v>
      </c>
    </row>
    <row r="50" spans="1:26">
      <c r="A50" s="58">
        <f>IF(H49="AFIII",VLOOKUP(D50,Sheet1!$K$4:$S$19,5,FALSE),IF(H49="UBIII",VLOOKUP(D50,Sheet1!$K$4:$S$19,8,FALSE),VLOOKUP(D50,Sheet1!$K$4:$S$19,2,FALSE)))</f>
        <v>324</v>
      </c>
      <c r="B50" s="80">
        <f t="shared" si="4"/>
        <v>17616.399999999998</v>
      </c>
      <c r="C50" s="60">
        <f t="shared" ref="C50:C73" si="50">C49+G50</f>
        <v>123.69600000000003</v>
      </c>
      <c r="D50" s="40" t="s">
        <v>1</v>
      </c>
      <c r="E50" s="56">
        <f>IF(H49="AFIII",VLOOKUP($D50,Sheet1!$A$34:$K$48,5,FALSE),IF(H49="UBIII",VLOOKUP($D50,Sheet1!$A$34:$K$48,8,FALSE),VLOOKUP($D50,Sheet1!$A$34:$K$48,2,FALSE)))</f>
        <v>2.39</v>
      </c>
      <c r="F50" s="56">
        <f>ROUNDDOWN((IF(H49="AFIII",VLOOKUP($D50,Sheet1!$A$34:$K$48,5,FALSE),IF(H49="UBIII",VLOOKUP($D50,Sheet1!$A$34:$K$48,8,FALSE),VLOOKUP($D50,Sheet1!$A$34:$K$48,2,FALSE))))*0.85,2)</f>
        <v>2.0299999999999998</v>
      </c>
      <c r="G50" s="56">
        <f t="shared" si="45"/>
        <v>2.0299999999999998</v>
      </c>
      <c r="H50" s="61" t="s">
        <v>84</v>
      </c>
      <c r="I50" s="56">
        <v>10</v>
      </c>
      <c r="K50" s="56">
        <f t="shared" si="48"/>
        <v>22.68</v>
      </c>
      <c r="L50" s="56">
        <f t="shared" si="49"/>
        <v>82.679999999999993</v>
      </c>
      <c r="Q50" s="56">
        <f t="shared" si="41"/>
        <v>14.290000000000001</v>
      </c>
      <c r="R50" s="56">
        <f>R49-G50</f>
        <v>57.97</v>
      </c>
      <c r="S50" s="61" t="s">
        <v>87</v>
      </c>
      <c r="T50" s="56">
        <f t="shared" ref="T50:T61" si="51">T49-G50</f>
        <v>25.54</v>
      </c>
      <c r="U50" s="71">
        <f t="shared" ref="U50:U73" si="52">U49-G50</f>
        <v>85.539999999999992</v>
      </c>
      <c r="V50" s="44">
        <f>IF(H49="AFIII",VLOOKUP(D50,Sheet1!$A$4:$H$18,5,FALSE),IF(H49="UBIII",VLOOKUP(D50,Sheet1!$A$4:$H$18,8,FALSE),IF(H49="",VLOOKUP(D50,Sheet1!$A$4:$H$18,2,FALSE),"0")))</f>
        <v>2120</v>
      </c>
      <c r="W50" s="44">
        <f t="shared" si="46"/>
        <v>0</v>
      </c>
      <c r="X50" s="48">
        <f t="shared" si="47"/>
        <v>5408</v>
      </c>
      <c r="Y50" s="3" t="str">
        <f t="shared" si="19"/>
        <v>SUCCESS</v>
      </c>
      <c r="Z50" s="3" t="str">
        <f t="shared" si="20"/>
        <v>SUCCESS</v>
      </c>
    </row>
    <row r="51" spans="1:26">
      <c r="A51" s="58">
        <f>IF(H50="AFIII",VLOOKUP(D51,Sheet1!$K$4:$S$19,5,FALSE),IF(H50="UBIII",VLOOKUP(D51,Sheet1!$K$4:$S$19,8,FALSE),VLOOKUP(D51,Sheet1!$K$4:$S$19,2,FALSE)))</f>
        <v>432</v>
      </c>
      <c r="B51" s="80">
        <f t="shared" si="4"/>
        <v>18048.399999999998</v>
      </c>
      <c r="C51" s="60">
        <f t="shared" si="50"/>
        <v>125.72600000000003</v>
      </c>
      <c r="D51" s="40" t="s">
        <v>129</v>
      </c>
      <c r="E51" s="56">
        <f>IF(H50="AFIII",VLOOKUP($D51,Sheet1!$A$34:$K$48,5,FALSE),IF(H50="UBIII",VLOOKUP($D51,Sheet1!$A$34:$K$48,8,FALSE),VLOOKUP($D51,Sheet1!$A$34:$K$48,2,FALSE)))</f>
        <v>2.39</v>
      </c>
      <c r="F51" s="56">
        <f>ROUNDDOWN((IF(H50="AFIII",VLOOKUP($D51,Sheet1!$A$34:$K$48,5,FALSE),IF(H50="UBIII",VLOOKUP($D51,Sheet1!$A$34:$K$48,8,FALSE),VLOOKUP($D51,Sheet1!$A$34:$K$48,2,FALSE))))*0.85,2)</f>
        <v>2.0299999999999998</v>
      </c>
      <c r="G51" s="56">
        <f t="shared" si="45"/>
        <v>2.0299999999999998</v>
      </c>
      <c r="H51" s="61" t="s">
        <v>84</v>
      </c>
      <c r="I51" s="56">
        <v>10</v>
      </c>
      <c r="K51" s="56">
        <f t="shared" si="48"/>
        <v>20.65</v>
      </c>
      <c r="L51" s="56">
        <f t="shared" si="49"/>
        <v>80.649999999999991</v>
      </c>
      <c r="Q51" s="56">
        <f t="shared" si="41"/>
        <v>12.260000000000002</v>
      </c>
      <c r="R51" s="56">
        <f t="shared" ref="R51:R74" si="53">R50-G51</f>
        <v>55.94</v>
      </c>
      <c r="S51" s="61" t="s">
        <v>87</v>
      </c>
      <c r="T51" s="56">
        <f t="shared" si="51"/>
        <v>23.509999999999998</v>
      </c>
      <c r="U51" s="71">
        <f t="shared" si="52"/>
        <v>83.509999999999991</v>
      </c>
      <c r="V51" s="44">
        <f>IF(H50="AFIII",VLOOKUP(D51,Sheet1!$A$4:$H$18,5,FALSE),IF(H50="UBIII",VLOOKUP(D51,Sheet1!$A$4:$H$18,8,FALSE),IF(H50="",VLOOKUP(D51,Sheet1!$A$4:$H$18,2,FALSE),"0")))</f>
        <v>0</v>
      </c>
      <c r="W51" s="44">
        <f t="shared" si="46"/>
        <v>0</v>
      </c>
      <c r="X51" s="48">
        <f t="shared" si="47"/>
        <v>5408</v>
      </c>
      <c r="Y51" s="3" t="str">
        <f t="shared" si="19"/>
        <v>SUCCESS</v>
      </c>
      <c r="Z51" s="3" t="str">
        <f t="shared" si="20"/>
        <v>SUCCESS</v>
      </c>
    </row>
    <row r="52" spans="1:26">
      <c r="A52" s="58">
        <f>IF(H51="AFIII",VLOOKUP(D52,Sheet1!$K$4:$S$19,5,FALSE),IF(H51="UBIII",VLOOKUP(D52,Sheet1!$K$4:$S$19,8,FALSE),VLOOKUP(D52,Sheet1!$K$4:$S$19,2,FALSE)))</f>
        <v>504</v>
      </c>
      <c r="B52" s="80">
        <f t="shared" si="4"/>
        <v>18552.399999999998</v>
      </c>
      <c r="C52" s="60">
        <f t="shared" si="50"/>
        <v>128.15600000000003</v>
      </c>
      <c r="D52" s="40" t="s">
        <v>6</v>
      </c>
      <c r="E52" s="56">
        <f>IF(H51="AFIII",VLOOKUP($D52,Sheet1!$A$34:$K$48,5,FALSE),IF(H51="UBIII",VLOOKUP($D52,Sheet1!$A$34:$K$48,8,FALSE),VLOOKUP($D52,Sheet1!$A$34:$K$48,2,FALSE)))</f>
        <v>2.86</v>
      </c>
      <c r="F52" s="56">
        <f>ROUNDDOWN((IF(H51="AFIII",VLOOKUP($D52,Sheet1!$A$34:$K$48,5,FALSE),IF(H51="UBIII",VLOOKUP($D52,Sheet1!$A$34:$K$48,8,FALSE),VLOOKUP($D52,Sheet1!$A$34:$K$48,2,FALSE))))*0.85,2)</f>
        <v>2.4300000000000002</v>
      </c>
      <c r="G52" s="56">
        <f t="shared" si="45"/>
        <v>2.4300000000000002</v>
      </c>
      <c r="H52" s="61" t="s">
        <v>84</v>
      </c>
      <c r="I52" s="56">
        <f>I51-G52</f>
        <v>7.57</v>
      </c>
      <c r="K52" s="56">
        <f t="shared" si="48"/>
        <v>18.22</v>
      </c>
      <c r="L52" s="56">
        <f t="shared" si="49"/>
        <v>78.219999999999985</v>
      </c>
      <c r="Q52" s="56">
        <f t="shared" si="41"/>
        <v>9.8300000000000018</v>
      </c>
      <c r="R52" s="56">
        <f t="shared" si="53"/>
        <v>53.51</v>
      </c>
      <c r="S52" s="61" t="s">
        <v>87</v>
      </c>
      <c r="T52" s="56">
        <f t="shared" si="51"/>
        <v>21.08</v>
      </c>
      <c r="U52" s="71">
        <f t="shared" si="52"/>
        <v>81.079999999999984</v>
      </c>
      <c r="V52" s="44">
        <f>IF(H51="AFIII",VLOOKUP(D52,Sheet1!$A$4:$H$18,5,FALSE),IF(H51="UBIII",VLOOKUP(D52,Sheet1!$A$4:$H$18,8,FALSE),IF(H51="",VLOOKUP(D52,Sheet1!$A$4:$H$18,2,FALSE),"0")))</f>
        <v>1768</v>
      </c>
      <c r="W52" s="44">
        <f t="shared" si="46"/>
        <v>0</v>
      </c>
      <c r="X52" s="48">
        <f t="shared" si="47"/>
        <v>3640</v>
      </c>
      <c r="Y52" s="3" t="str">
        <f t="shared" si="19"/>
        <v>SUCCESS</v>
      </c>
      <c r="Z52" s="3" t="str">
        <f t="shared" si="20"/>
        <v>SUCCESS</v>
      </c>
    </row>
    <row r="53" spans="1:26">
      <c r="A53" s="58">
        <f>IF(H52="AFIII",VLOOKUP(D53,Sheet1!$K$4:$S$19,5,FALSE),IF(H52="UBIII",VLOOKUP(D53,Sheet1!$K$4:$S$19,8,FALSE),VLOOKUP(D53,Sheet1!$K$4:$S$19,2,FALSE)))</f>
        <v>504</v>
      </c>
      <c r="B53" s="80">
        <f t="shared" si="4"/>
        <v>19056.399999999998</v>
      </c>
      <c r="C53" s="60">
        <f t="shared" si="50"/>
        <v>130.58600000000004</v>
      </c>
      <c r="D53" s="40" t="s">
        <v>6</v>
      </c>
      <c r="E53" s="56">
        <f>IF(H52="AFIII",VLOOKUP($D53,Sheet1!$A$34:$K$48,5,FALSE),IF(H52="UBIII",VLOOKUP($D53,Sheet1!$A$34:$K$48,8,FALSE),VLOOKUP($D53,Sheet1!$A$34:$K$48,2,FALSE)))</f>
        <v>2.86</v>
      </c>
      <c r="F53" s="56">
        <f>ROUNDDOWN((IF(H52="AFIII",VLOOKUP($D53,Sheet1!$A$34:$K$48,5,FALSE),IF(H52="UBIII",VLOOKUP($D53,Sheet1!$A$34:$K$48,8,FALSE),VLOOKUP($D53,Sheet1!$A$34:$K$48,2,FALSE))))*0.85,2)</f>
        <v>2.4300000000000002</v>
      </c>
      <c r="G53" s="56">
        <f t="shared" si="5"/>
        <v>2.4300000000000002</v>
      </c>
      <c r="H53" s="61" t="s">
        <v>84</v>
      </c>
      <c r="I53" s="56">
        <f>I52-G53</f>
        <v>5.1400000000000006</v>
      </c>
      <c r="K53" s="56">
        <f t="shared" si="48"/>
        <v>15.79</v>
      </c>
      <c r="L53" s="56">
        <f t="shared" si="49"/>
        <v>75.789999999999978</v>
      </c>
      <c r="Q53" s="56">
        <f t="shared" si="41"/>
        <v>7.4000000000000021</v>
      </c>
      <c r="R53" s="56">
        <f t="shared" si="53"/>
        <v>51.08</v>
      </c>
      <c r="S53" s="61" t="s">
        <v>87</v>
      </c>
      <c r="T53" s="56">
        <f t="shared" si="51"/>
        <v>18.649999999999999</v>
      </c>
      <c r="U53" s="71">
        <f t="shared" si="52"/>
        <v>78.649999999999977</v>
      </c>
      <c r="V53" s="44">
        <f>IF(H52="AFIII",VLOOKUP(D53,Sheet1!$A$4:$H$18,5,FALSE),IF(H52="UBIII",VLOOKUP(D53,Sheet1!$A$4:$H$18,8,FALSE),IF(H52="",VLOOKUP(D53,Sheet1!$A$4:$H$18,2,FALSE),"0")))</f>
        <v>1768</v>
      </c>
      <c r="W53" s="44">
        <f t="shared" si="46"/>
        <v>0</v>
      </c>
      <c r="X53" s="48">
        <f t="shared" si="47"/>
        <v>1872</v>
      </c>
      <c r="Y53" s="3" t="str">
        <f t="shared" si="19"/>
        <v>SUCCESS</v>
      </c>
      <c r="Z53" s="3" t="str">
        <f t="shared" si="20"/>
        <v>SUCCESS</v>
      </c>
    </row>
    <row r="54" spans="1:26">
      <c r="A54" s="58">
        <f>IF(H53="AFIII",VLOOKUP(D54,Sheet1!$K$4:$S$19,5,FALSE),IF(H53="UBIII",VLOOKUP(D54,Sheet1!$K$4:$S$19,8,FALSE),VLOOKUP(D54,Sheet1!$K$4:$S$19,2,FALSE)))</f>
        <v>168</v>
      </c>
      <c r="B54" s="80">
        <f t="shared" si="4"/>
        <v>19224.399999999998</v>
      </c>
      <c r="C54" s="60">
        <f t="shared" si="50"/>
        <v>132.61600000000004</v>
      </c>
      <c r="D54" s="40" t="s">
        <v>12</v>
      </c>
      <c r="E54" s="56">
        <f>IF(H53="AFIII",VLOOKUP($D54,Sheet1!$A$34:$K$48,5,FALSE),IF(H53="UBIII",VLOOKUP($D54,Sheet1!$A$34:$K$48,8,FALSE),VLOOKUP($D54,Sheet1!$A$34:$K$48,2,FALSE)))</f>
        <v>1.67</v>
      </c>
      <c r="F54" s="56">
        <f>ROUNDDOWN((IF(H53="AFIII",VLOOKUP($D54,Sheet1!$A$34:$K$48,5,FALSE),IF(H53="UBIII",VLOOKUP($D54,Sheet1!$A$34:$K$48,8,FALSE),VLOOKUP($D54,Sheet1!$A$34:$K$48,2,FALSE))))*0.85,2)</f>
        <v>1.41</v>
      </c>
      <c r="G54" s="56">
        <f t="shared" si="5"/>
        <v>2.0299999999999998</v>
      </c>
      <c r="H54" s="61" t="s">
        <v>122</v>
      </c>
      <c r="I54" s="56">
        <v>10</v>
      </c>
      <c r="K54" s="56">
        <f t="shared" si="48"/>
        <v>13.76</v>
      </c>
      <c r="L54" s="56">
        <f t="shared" si="49"/>
        <v>73.759999999999977</v>
      </c>
      <c r="Q54" s="56">
        <f t="shared" si="41"/>
        <v>5.3700000000000028</v>
      </c>
      <c r="R54" s="56">
        <f t="shared" si="53"/>
        <v>49.05</v>
      </c>
      <c r="S54" s="61" t="s">
        <v>87</v>
      </c>
      <c r="T54" s="56">
        <f t="shared" si="51"/>
        <v>16.619999999999997</v>
      </c>
      <c r="U54" s="71">
        <f t="shared" si="52"/>
        <v>76.619999999999976</v>
      </c>
      <c r="V54" s="44">
        <f>IF(H53="AFIII",VLOOKUP(D54,Sheet1!$A$4:$H$18,5,FALSE),IF(H53="UBIII",VLOOKUP(D54,Sheet1!$A$4:$H$18,8,FALSE),IF(H53="",VLOOKUP(D54,Sheet1!$A$4:$H$18,2,FALSE),"0")))</f>
        <v>265</v>
      </c>
      <c r="W54" s="44">
        <f t="shared" si="46"/>
        <v>0</v>
      </c>
      <c r="X54" s="48">
        <f t="shared" si="47"/>
        <v>1607</v>
      </c>
      <c r="Y54" s="3" t="str">
        <f t="shared" si="19"/>
        <v>SUCCESS</v>
      </c>
      <c r="Z54" s="3" t="str">
        <f t="shared" si="20"/>
        <v>SUCCESS</v>
      </c>
    </row>
    <row r="55" spans="1:26">
      <c r="A55" s="58">
        <f>IF(H54="AFIII",VLOOKUP(D55,Sheet1!$K$4:$S$19,5,FALSE),IF(H54="UBIII",VLOOKUP(D55,Sheet1!$K$4:$S$19,8,FALSE),VLOOKUP(D55,Sheet1!$K$4:$S$19,2,FALSE)))</f>
        <v>340</v>
      </c>
      <c r="B55" s="80">
        <f t="shared" si="4"/>
        <v>19564.399999999998</v>
      </c>
      <c r="C55" s="60">
        <f t="shared" si="50"/>
        <v>135.44600000000005</v>
      </c>
      <c r="D55" s="40" t="s">
        <v>21</v>
      </c>
      <c r="E55" s="56">
        <f>IF(H54="AFIII",VLOOKUP($D55,Sheet1!$A$34:$K$48,5,FALSE),IF(H54="UBIII",VLOOKUP($D55,Sheet1!$A$34:$K$48,8,FALSE),VLOOKUP($D55,Sheet1!$A$34:$K$48,2,FALSE)))</f>
        <v>3.34</v>
      </c>
      <c r="F55" s="56">
        <f>ROUNDDOWN((IF(H54="AFIII",VLOOKUP($D55,Sheet1!$A$34:$K$48,5,FALSE),IF(H54="UBIII",VLOOKUP($D55,Sheet1!$A$34:$K$48,8,FALSE),VLOOKUP($D55,Sheet1!$A$34:$K$48,2,FALSE))))*0.85,2)</f>
        <v>2.83</v>
      </c>
      <c r="G55" s="56">
        <f t="shared" si="5"/>
        <v>2.83</v>
      </c>
      <c r="H55" s="61" t="s">
        <v>122</v>
      </c>
      <c r="I55" s="56">
        <f>I54-G55</f>
        <v>7.17</v>
      </c>
      <c r="K55" s="56">
        <f t="shared" si="48"/>
        <v>10.93</v>
      </c>
      <c r="L55" s="56">
        <f t="shared" si="49"/>
        <v>70.929999999999978</v>
      </c>
      <c r="R55" s="56">
        <f t="shared" si="53"/>
        <v>46.22</v>
      </c>
      <c r="S55" s="61" t="s">
        <v>87</v>
      </c>
      <c r="T55" s="56">
        <f t="shared" si="51"/>
        <v>13.789999999999997</v>
      </c>
      <c r="U55" s="71">
        <f t="shared" si="52"/>
        <v>73.789999999999978</v>
      </c>
      <c r="V55" s="44">
        <f>IF(H54="AFIII",VLOOKUP(D55,Sheet1!$A$4:$H$18,5,FALSE),IF(H54="UBIII",VLOOKUP(D55,Sheet1!$A$4:$H$18,8,FALSE),IF(H54="",VLOOKUP(D55,Sheet1!$A$4:$H$18,2,FALSE),"0")))</f>
        <v>1414</v>
      </c>
      <c r="W55" s="44">
        <f t="shared" si="46"/>
        <v>7033</v>
      </c>
      <c r="X55" s="48">
        <f t="shared" si="47"/>
        <v>7226</v>
      </c>
      <c r="Y55" s="3" t="str">
        <f t="shared" si="19"/>
        <v>SUCCESS</v>
      </c>
      <c r="Z55" s="3" t="str">
        <f t="shared" si="20"/>
        <v>SUCCESS</v>
      </c>
    </row>
    <row r="56" spans="1:26">
      <c r="A56" s="58">
        <f>IF(H55="AFIII",VLOOKUP(D56,Sheet1!$K$4:$S$19,5,FALSE),IF(H55="UBIII",VLOOKUP(D56,Sheet1!$K$4:$S$19,8,FALSE),VLOOKUP(D56,Sheet1!$K$4:$S$19,2,FALSE)))</f>
        <v>280</v>
      </c>
      <c r="B56" s="80">
        <f t="shared" si="4"/>
        <v>19844.399999999998</v>
      </c>
      <c r="C56" s="60">
        <f t="shared" si="50"/>
        <v>137.87600000000006</v>
      </c>
      <c r="D56" s="40" t="s">
        <v>14</v>
      </c>
      <c r="E56" s="56">
        <f>IF(H55="AFIII",VLOOKUP($D56,Sheet1!$A$34:$K$48,5,FALSE),IF(H55="UBIII",VLOOKUP($D56,Sheet1!$A$34:$K$48,8,FALSE),VLOOKUP($D56,Sheet1!$A$34:$K$48,2,FALSE)))</f>
        <v>2.86</v>
      </c>
      <c r="F56" s="56">
        <f>ROUNDDOWN((IF(H55="AFIII",VLOOKUP($D56,Sheet1!$A$34:$K$48,5,FALSE),IF(H55="UBIII",VLOOKUP($D56,Sheet1!$A$34:$K$48,8,FALSE),VLOOKUP($D56,Sheet1!$A$34:$K$48,2,FALSE))))*0.85,2)</f>
        <v>2.4300000000000002</v>
      </c>
      <c r="G56" s="56">
        <f t="shared" si="5"/>
        <v>2.4300000000000002</v>
      </c>
      <c r="H56" s="61" t="s">
        <v>122</v>
      </c>
      <c r="I56" s="56">
        <f>I55-G56</f>
        <v>4.74</v>
      </c>
      <c r="K56" s="56">
        <v>25</v>
      </c>
      <c r="L56" s="56">
        <f t="shared" si="49"/>
        <v>68.499999999999972</v>
      </c>
      <c r="R56" s="56">
        <f t="shared" si="53"/>
        <v>43.79</v>
      </c>
      <c r="S56" s="61" t="s">
        <v>87</v>
      </c>
      <c r="T56" s="56">
        <f t="shared" si="51"/>
        <v>11.359999999999998</v>
      </c>
      <c r="U56" s="71">
        <f t="shared" si="52"/>
        <v>71.359999999999971</v>
      </c>
      <c r="V56" s="44">
        <f>IF(H55="AFIII",VLOOKUP(D56,Sheet1!$A$4:$H$18,5,FALSE),IF(H55="UBIII",VLOOKUP(D56,Sheet1!$A$4:$H$18,8,FALSE),IF(H55="",VLOOKUP(D56,Sheet1!$A$4:$H$18,2,FALSE),"0")))</f>
        <v>884</v>
      </c>
      <c r="W56" s="44">
        <f t="shared" si="46"/>
        <v>7033</v>
      </c>
      <c r="X56" s="48">
        <f t="shared" si="47"/>
        <v>10622</v>
      </c>
      <c r="Y56" s="3" t="str">
        <f t="shared" si="19"/>
        <v>SUCCESS</v>
      </c>
      <c r="Z56" s="3" t="str">
        <f t="shared" si="20"/>
        <v>SUCCESS</v>
      </c>
    </row>
    <row r="57" spans="1:26">
      <c r="A57" s="58">
        <f>IF(H56="AFIII",VLOOKUP(D57,Sheet1!$K$4:$S$19,5,FALSE),IF(H56="UBIII",VLOOKUP(D57,Sheet1!$K$4:$S$19,8,FALSE),VLOOKUP(D57,Sheet1!$K$4:$S$19,2,FALSE)))</f>
        <v>168</v>
      </c>
      <c r="B57" s="80">
        <f t="shared" si="4"/>
        <v>20012.399999999998</v>
      </c>
      <c r="C57" s="60">
        <f t="shared" si="50"/>
        <v>139.90600000000006</v>
      </c>
      <c r="D57" s="40" t="s">
        <v>4</v>
      </c>
      <c r="E57" s="56">
        <f>IF(H56="AFIII",VLOOKUP($D57,Sheet1!$A$34:$K$48,5,FALSE),IF(H56="UBIII",VLOOKUP($D57,Sheet1!$A$34:$K$48,8,FALSE),VLOOKUP($D57,Sheet1!$A$34:$K$48,2,FALSE)))</f>
        <v>1.67</v>
      </c>
      <c r="F57" s="56">
        <f>ROUNDDOWN((IF(H56="AFIII",VLOOKUP($D57,Sheet1!$A$34:$K$48,5,FALSE),IF(H56="UBIII",VLOOKUP($D57,Sheet1!$A$34:$K$48,8,FALSE),VLOOKUP($D57,Sheet1!$A$34:$K$48,2,FALSE))))*0.85,2)</f>
        <v>1.41</v>
      </c>
      <c r="G57" s="56">
        <f t="shared" si="5"/>
        <v>2.0299999999999998</v>
      </c>
      <c r="H57" s="61" t="s">
        <v>84</v>
      </c>
      <c r="I57" s="56">
        <v>10</v>
      </c>
      <c r="K57" s="56">
        <f t="shared" si="48"/>
        <v>22.97</v>
      </c>
      <c r="L57" s="56">
        <f t="shared" si="49"/>
        <v>66.46999999999997</v>
      </c>
      <c r="R57" s="56">
        <f t="shared" si="53"/>
        <v>41.76</v>
      </c>
      <c r="S57" s="61" t="s">
        <v>87</v>
      </c>
      <c r="T57" s="56">
        <f t="shared" si="51"/>
        <v>9.3299999999999983</v>
      </c>
      <c r="U57" s="71">
        <f t="shared" si="52"/>
        <v>69.32999999999997</v>
      </c>
      <c r="V57" s="44">
        <f>IF(H56="AFIII",VLOOKUP(D57,Sheet1!$A$4:$H$18,5,FALSE),IF(H56="UBIII",VLOOKUP(D57,Sheet1!$A$4:$H$18,8,FALSE),IF(H56="",VLOOKUP(D57,Sheet1!$A$4:$H$18,2,FALSE),"0")))</f>
        <v>442</v>
      </c>
      <c r="W57" s="44">
        <f t="shared" si="46"/>
        <v>7033</v>
      </c>
      <c r="X57" s="48">
        <f t="shared" si="47"/>
        <v>11064</v>
      </c>
      <c r="Y57" s="3" t="str">
        <f t="shared" si="19"/>
        <v>SUCCESS</v>
      </c>
      <c r="Z57" s="3" t="str">
        <f t="shared" si="20"/>
        <v>SUCCESS</v>
      </c>
    </row>
    <row r="58" spans="1:26">
      <c r="A58" s="58">
        <f>IF(H57="AFIII",VLOOKUP(D58,Sheet1!$K$4:$S$19,5,FALSE),IF(H57="UBIII",VLOOKUP(D58,Sheet1!$K$4:$S$19,8,FALSE),VLOOKUP(D58,Sheet1!$K$4:$S$19,2,FALSE)))</f>
        <v>504</v>
      </c>
      <c r="B58" s="80">
        <f t="shared" si="4"/>
        <v>20516.399999999998</v>
      </c>
      <c r="C58" s="60">
        <f t="shared" si="50"/>
        <v>142.33600000000007</v>
      </c>
      <c r="D58" s="40" t="s">
        <v>6</v>
      </c>
      <c r="E58" s="56">
        <f>IF(H57="AFIII",VLOOKUP($D58,Sheet1!$A$34:$K$48,5,FALSE),IF(H57="UBIII",VLOOKUP($D58,Sheet1!$A$34:$K$48,8,FALSE),VLOOKUP($D58,Sheet1!$A$34:$K$48,2,FALSE)))</f>
        <v>2.86</v>
      </c>
      <c r="F58" s="56">
        <f>ROUNDDOWN((IF(H57="AFIII",VLOOKUP($D58,Sheet1!$A$34:$K$48,5,FALSE),IF(H57="UBIII",VLOOKUP($D58,Sheet1!$A$34:$K$48,8,FALSE),VLOOKUP($D58,Sheet1!$A$34:$K$48,2,FALSE))))*0.85,2)</f>
        <v>2.4300000000000002</v>
      </c>
      <c r="G58" s="56">
        <f t="shared" si="5"/>
        <v>2.4300000000000002</v>
      </c>
      <c r="H58" s="61" t="s">
        <v>84</v>
      </c>
      <c r="I58" s="56">
        <f>I57-G58</f>
        <v>7.57</v>
      </c>
      <c r="K58" s="56">
        <f t="shared" si="48"/>
        <v>20.54</v>
      </c>
      <c r="L58" s="56">
        <f t="shared" si="49"/>
        <v>64.039999999999964</v>
      </c>
      <c r="R58" s="56">
        <f t="shared" si="53"/>
        <v>39.33</v>
      </c>
      <c r="S58" s="61" t="s">
        <v>87</v>
      </c>
      <c r="T58" s="56">
        <f t="shared" si="51"/>
        <v>6.8999999999999986</v>
      </c>
      <c r="U58" s="71">
        <f t="shared" si="52"/>
        <v>66.899999999999963</v>
      </c>
      <c r="V58" s="44">
        <f>IF(H57="AFIII",VLOOKUP(D58,Sheet1!$A$4:$H$18,5,FALSE),IF(H57="UBIII",VLOOKUP(D58,Sheet1!$A$4:$H$18,8,FALSE),IF(H57="",VLOOKUP(D58,Sheet1!$A$4:$H$18,2,FALSE),"0")))</f>
        <v>1768</v>
      </c>
      <c r="W58" s="44">
        <f t="shared" si="46"/>
        <v>0</v>
      </c>
      <c r="X58" s="48">
        <f t="shared" si="47"/>
        <v>9296</v>
      </c>
      <c r="Y58" s="3" t="str">
        <f t="shared" si="19"/>
        <v>SUCCESS</v>
      </c>
      <c r="Z58" s="3" t="str">
        <f t="shared" si="20"/>
        <v>SUCCESS</v>
      </c>
    </row>
    <row r="59" spans="1:26">
      <c r="A59" s="58">
        <f>IF(H58="AFIII",VLOOKUP(D59,Sheet1!$K$4:$S$19,5,FALSE),IF(H58="UBIII",VLOOKUP(D59,Sheet1!$K$4:$S$19,8,FALSE),VLOOKUP(D59,Sheet1!$K$4:$S$19,2,FALSE)))</f>
        <v>504</v>
      </c>
      <c r="B59" s="80">
        <f t="shared" si="4"/>
        <v>21020.399999999998</v>
      </c>
      <c r="C59" s="60">
        <f t="shared" si="50"/>
        <v>144.76600000000008</v>
      </c>
      <c r="D59" s="40" t="s">
        <v>6</v>
      </c>
      <c r="E59" s="56">
        <f>IF(H58="AFIII",VLOOKUP($D59,Sheet1!$A$34:$K$48,5,FALSE),IF(H58="UBIII",VLOOKUP($D59,Sheet1!$A$34:$K$48,8,FALSE),VLOOKUP($D59,Sheet1!$A$34:$K$48,2,FALSE)))</f>
        <v>2.86</v>
      </c>
      <c r="F59" s="56">
        <f>ROUNDDOWN((IF(H58="AFIII",VLOOKUP($D59,Sheet1!$A$34:$K$48,5,FALSE),IF(H58="UBIII",VLOOKUP($D59,Sheet1!$A$34:$K$48,8,FALSE),VLOOKUP($D59,Sheet1!$A$34:$K$48,2,FALSE))))*0.85,2)</f>
        <v>2.4300000000000002</v>
      </c>
      <c r="G59" s="56">
        <f t="shared" si="5"/>
        <v>2.4300000000000002</v>
      </c>
      <c r="H59" s="61" t="s">
        <v>84</v>
      </c>
      <c r="I59" s="56">
        <f t="shared" ref="I59:I72" si="54">I58-G59</f>
        <v>5.1400000000000006</v>
      </c>
      <c r="K59" s="56">
        <f t="shared" si="48"/>
        <v>18.11</v>
      </c>
      <c r="L59" s="56">
        <f t="shared" si="49"/>
        <v>61.609999999999964</v>
      </c>
      <c r="R59" s="56">
        <f t="shared" si="53"/>
        <v>36.9</v>
      </c>
      <c r="S59" s="61" t="s">
        <v>87</v>
      </c>
      <c r="T59" s="56">
        <f t="shared" si="51"/>
        <v>4.4699999999999989</v>
      </c>
      <c r="U59" s="71">
        <f t="shared" si="52"/>
        <v>64.469999999999956</v>
      </c>
      <c r="V59" s="44">
        <f>IF(H58="AFIII",VLOOKUP(D59,Sheet1!$A$4:$H$18,5,FALSE),IF(H58="UBIII",VLOOKUP(D59,Sheet1!$A$4:$H$18,8,FALSE),IF(H58="",VLOOKUP(D59,Sheet1!$A$4:$H$18,2,FALSE),"0")))</f>
        <v>1768</v>
      </c>
      <c r="W59" s="44">
        <f t="shared" si="46"/>
        <v>0</v>
      </c>
      <c r="X59" s="48">
        <f t="shared" si="47"/>
        <v>7528</v>
      </c>
      <c r="Y59" s="3" t="str">
        <f t="shared" si="19"/>
        <v>SUCCESS</v>
      </c>
      <c r="Z59" s="3" t="str">
        <f t="shared" si="20"/>
        <v>SUCCESS</v>
      </c>
    </row>
    <row r="60" spans="1:26">
      <c r="A60" s="58">
        <f>IF(H59="AFIII",VLOOKUP(D60,Sheet1!$K$4:$S$19,5,FALSE),IF(H59="UBIII",VLOOKUP(D60,Sheet1!$K$4:$S$19,8,FALSE),VLOOKUP(D60,Sheet1!$K$4:$S$19,2,FALSE)))</f>
        <v>496.8</v>
      </c>
      <c r="B60" s="80">
        <f t="shared" si="4"/>
        <v>21517.199999999997</v>
      </c>
      <c r="C60" s="60">
        <f t="shared" si="50"/>
        <v>147.60600000000008</v>
      </c>
      <c r="D60" s="40" t="s">
        <v>137</v>
      </c>
      <c r="E60" s="56">
        <f>IF(H59="AFIII",VLOOKUP($D60,Sheet1!$A$34:$K$48,5,FALSE),IF(H59="UBIII",VLOOKUP($D60,Sheet1!$A$34:$K$48,8,FALSE),VLOOKUP($D60,Sheet1!$A$34:$K$48,2,FALSE)))</f>
        <v>3.3460000000000001</v>
      </c>
      <c r="F60" s="56">
        <f>ROUNDDOWN((IF(H59="AFIII",VLOOKUP($D60,Sheet1!$A$34:$K$48,5,FALSE),IF(H59="UBIII",VLOOKUP($D60,Sheet1!$A$34:$K$48,8,FALSE),VLOOKUP($D60,Sheet1!$A$34:$K$48,2,FALSE))))*0.85,2)</f>
        <v>2.84</v>
      </c>
      <c r="G60" s="56">
        <f t="shared" si="5"/>
        <v>2.84</v>
      </c>
      <c r="H60" s="61" t="s">
        <v>84</v>
      </c>
      <c r="I60" s="56">
        <v>10</v>
      </c>
      <c r="K60" s="56">
        <f t="shared" si="48"/>
        <v>15.27</v>
      </c>
      <c r="L60" s="56">
        <f t="shared" si="49"/>
        <v>58.769999999999968</v>
      </c>
      <c r="R60" s="56">
        <f t="shared" si="53"/>
        <v>34.06</v>
      </c>
      <c r="S60" s="61" t="s">
        <v>87</v>
      </c>
      <c r="T60" s="56">
        <f t="shared" si="51"/>
        <v>1.629999999999999</v>
      </c>
      <c r="U60" s="71">
        <f t="shared" si="52"/>
        <v>61.629999999999953</v>
      </c>
      <c r="V60" s="44">
        <f>IF(H59="AFIII",VLOOKUP(D60,Sheet1!$A$4:$H$18,5,FALSE),IF(H59="UBIII",VLOOKUP(D60,Sheet1!$A$4:$H$18,8,FALSE),IF(H59="",VLOOKUP(D60,Sheet1!$A$4:$H$18,2,FALSE),"0")))</f>
        <v>2120</v>
      </c>
      <c r="W60" s="44">
        <f t="shared" si="46"/>
        <v>0</v>
      </c>
      <c r="X60" s="48">
        <f t="shared" si="47"/>
        <v>5408</v>
      </c>
      <c r="Y60" s="3" t="str">
        <f t="shared" si="19"/>
        <v>SUCCESS</v>
      </c>
      <c r="Z60" s="3" t="str">
        <f t="shared" si="20"/>
        <v>SUCCESS</v>
      </c>
    </row>
    <row r="61" spans="1:26">
      <c r="A61" s="58">
        <f>IF(H60="AFIII",VLOOKUP(D61,Sheet1!$K$4:$S$19,5,FALSE),IF(H60="UBIII",VLOOKUP(D61,Sheet1!$K$4:$S$19,8,FALSE),VLOOKUP(D61,Sheet1!$K$4:$S$19,2,FALSE)))</f>
        <v>504</v>
      </c>
      <c r="B61" s="80">
        <f t="shared" si="4"/>
        <v>22021.199999999997</v>
      </c>
      <c r="C61" s="60">
        <f t="shared" si="50"/>
        <v>150.03600000000009</v>
      </c>
      <c r="D61" s="40" t="s">
        <v>6</v>
      </c>
      <c r="E61" s="56">
        <f>IF(H60="AFIII",VLOOKUP($D61,Sheet1!$A$34:$K$48,5,FALSE),IF(H60="UBIII",VLOOKUP($D61,Sheet1!$A$34:$K$48,8,FALSE),VLOOKUP($D61,Sheet1!$A$34:$K$48,2,FALSE)))</f>
        <v>2.86</v>
      </c>
      <c r="F61" s="56">
        <f>ROUNDDOWN((IF(H60="AFIII",VLOOKUP($D61,Sheet1!$A$34:$K$48,5,FALSE),IF(H60="UBIII",VLOOKUP($D61,Sheet1!$A$34:$K$48,8,FALSE),VLOOKUP($D61,Sheet1!$A$34:$K$48,2,FALSE))))*0.85,2)</f>
        <v>2.4300000000000002</v>
      </c>
      <c r="G61" s="56">
        <f t="shared" si="5"/>
        <v>2.4300000000000002</v>
      </c>
      <c r="H61" s="61" t="s">
        <v>84</v>
      </c>
      <c r="I61" s="56">
        <f t="shared" si="54"/>
        <v>7.57</v>
      </c>
      <c r="K61" s="56">
        <f>K60-G61</f>
        <v>12.84</v>
      </c>
      <c r="L61" s="56">
        <f t="shared" si="49"/>
        <v>56.339999999999968</v>
      </c>
      <c r="R61" s="56">
        <f t="shared" si="53"/>
        <v>31.630000000000003</v>
      </c>
      <c r="T61" s="56">
        <f t="shared" si="51"/>
        <v>-0.80000000000000115</v>
      </c>
      <c r="U61" s="71">
        <f t="shared" si="52"/>
        <v>59.199999999999953</v>
      </c>
      <c r="V61" s="44">
        <f>IF(H60="AFIII",VLOOKUP(D61,Sheet1!$A$4:$H$18,5,FALSE),IF(H60="UBIII",VLOOKUP(D61,Sheet1!$A$4:$H$18,8,FALSE),IF(H60="",VLOOKUP(D61,Sheet1!$A$4:$H$18,2,FALSE),"0")))</f>
        <v>1768</v>
      </c>
      <c r="W61" s="44">
        <f t="shared" si="46"/>
        <v>0</v>
      </c>
      <c r="X61" s="48">
        <f t="shared" si="47"/>
        <v>3640</v>
      </c>
      <c r="Y61" s="3" t="str">
        <f t="shared" si="19"/>
        <v>SUCCESS</v>
      </c>
      <c r="Z61" s="3" t="str">
        <f t="shared" si="20"/>
        <v>SUCCESS</v>
      </c>
    </row>
    <row r="62" spans="1:26">
      <c r="A62" s="58">
        <f>IF(H61="AFIII",VLOOKUP(D62,Sheet1!$K$4:$S$19,5,FALSE),IF(H61="UBIII",VLOOKUP(D62,Sheet1!$K$4:$S$19,8,FALSE),VLOOKUP(D62,Sheet1!$K$4:$S$19,2,FALSE)))</f>
        <v>504</v>
      </c>
      <c r="B62" s="80">
        <f t="shared" si="4"/>
        <v>22525.199999999997</v>
      </c>
      <c r="C62" s="60">
        <f t="shared" si="50"/>
        <v>152.8960000000001</v>
      </c>
      <c r="D62" s="40" t="s">
        <v>6</v>
      </c>
      <c r="E62" s="56">
        <f>IF(H61="AFIII",VLOOKUP($D62,Sheet1!$A$34:$K$48,5,FALSE),IF(H61="UBIII",VLOOKUP($D62,Sheet1!$A$34:$K$48,8,FALSE),VLOOKUP($D62,Sheet1!$A$34:$K$48,2,FALSE)))</f>
        <v>2.86</v>
      </c>
      <c r="F62" s="56">
        <f>ROUNDDOWN((IF(H61="AFIII",VLOOKUP($D62,Sheet1!$A$34:$K$48,5,FALSE),IF(H61="UBIII",VLOOKUP($D62,Sheet1!$A$34:$K$48,8,FALSE),VLOOKUP($D62,Sheet1!$A$34:$K$48,2,FALSE))))*0.85,2)</f>
        <v>2.4300000000000002</v>
      </c>
      <c r="G62" s="56">
        <f>IF(M61="迅速",IF(S61="黒魔紋",$F$1,$E$1),IF(S61="黒魔紋",IF(F62&lt;$F$1,$F$1,F62),IF(E62&lt;$E$1,$E$1,E62)))</f>
        <v>2.86</v>
      </c>
      <c r="H62" s="61" t="s">
        <v>84</v>
      </c>
      <c r="I62" s="56">
        <f t="shared" si="54"/>
        <v>4.7100000000000009</v>
      </c>
      <c r="K62" s="56">
        <f t="shared" si="48"/>
        <v>9.98</v>
      </c>
      <c r="L62" s="56">
        <f t="shared" si="49"/>
        <v>53.479999999999968</v>
      </c>
      <c r="R62" s="56">
        <f t="shared" si="53"/>
        <v>28.770000000000003</v>
      </c>
      <c r="U62" s="71">
        <f t="shared" si="52"/>
        <v>56.339999999999954</v>
      </c>
      <c r="V62" s="44">
        <f>IF(H61="AFIII",VLOOKUP(D62,Sheet1!$A$4:$H$18,5,FALSE),IF(H61="UBIII",VLOOKUP(D62,Sheet1!$A$4:$H$18,8,FALSE),IF(H61="",VLOOKUP(D62,Sheet1!$A$4:$H$18,2,FALSE),"0")))</f>
        <v>1768</v>
      </c>
      <c r="W62" s="44">
        <f t="shared" si="46"/>
        <v>0</v>
      </c>
      <c r="X62" s="48">
        <f t="shared" si="47"/>
        <v>1872</v>
      </c>
      <c r="Y62" s="3" t="str">
        <f t="shared" si="19"/>
        <v>SUCCESS</v>
      </c>
      <c r="Z62" s="3" t="str">
        <f t="shared" si="20"/>
        <v>SUCCESS</v>
      </c>
    </row>
    <row r="63" spans="1:26">
      <c r="A63" s="58">
        <f>IF(H62="AFIII",VLOOKUP(D63,Sheet1!$K$4:$S$19,5,FALSE),IF(H62="UBIII",VLOOKUP(D63,Sheet1!$K$4:$S$19,8,FALSE),VLOOKUP(D63,Sheet1!$K$4:$S$19,2,FALSE)))</f>
        <v>168</v>
      </c>
      <c r="B63" s="80">
        <f t="shared" si="4"/>
        <v>22693.199999999997</v>
      </c>
      <c r="C63" s="60">
        <f t="shared" si="50"/>
        <v>155.28600000000009</v>
      </c>
      <c r="D63" s="40" t="s">
        <v>12</v>
      </c>
      <c r="E63" s="56">
        <f>IF(H62="AFIII",VLOOKUP($D63,Sheet1!$A$34:$K$48,5,FALSE),IF(H62="UBIII",VLOOKUP($D63,Sheet1!$A$34:$K$48,8,FALSE),VLOOKUP($D63,Sheet1!$A$34:$K$48,2,FALSE)))</f>
        <v>1.67</v>
      </c>
      <c r="F63" s="56">
        <f>ROUNDDOWN((IF(H62="AFIII",VLOOKUP($D63,Sheet1!$A$34:$K$48,5,FALSE),IF(H62="UBIII",VLOOKUP($D63,Sheet1!$A$34:$K$48,8,FALSE),VLOOKUP($D63,Sheet1!$A$34:$K$48,2,FALSE))))*0.85,2)</f>
        <v>1.41</v>
      </c>
      <c r="G63" s="56">
        <f t="shared" si="5"/>
        <v>2.39</v>
      </c>
      <c r="H63" s="61" t="s">
        <v>122</v>
      </c>
      <c r="I63" s="56">
        <v>10</v>
      </c>
      <c r="K63" s="56">
        <f t="shared" si="48"/>
        <v>7.59</v>
      </c>
      <c r="L63" s="56">
        <f t="shared" si="49"/>
        <v>51.089999999999968</v>
      </c>
      <c r="R63" s="56">
        <f t="shared" si="53"/>
        <v>26.380000000000003</v>
      </c>
      <c r="U63" s="71">
        <f t="shared" si="52"/>
        <v>53.949999999999953</v>
      </c>
      <c r="V63" s="44">
        <f>IF(H62="AFIII",VLOOKUP(D63,Sheet1!$A$4:$H$18,5,FALSE),IF(H62="UBIII",VLOOKUP(D63,Sheet1!$A$4:$H$18,8,FALSE),IF(H62="",VLOOKUP(D63,Sheet1!$A$4:$H$18,2,FALSE),"0")))</f>
        <v>265</v>
      </c>
      <c r="W63" s="44">
        <f t="shared" si="46"/>
        <v>0</v>
      </c>
      <c r="X63" s="48">
        <f t="shared" si="47"/>
        <v>1607</v>
      </c>
      <c r="Y63" s="3" t="str">
        <f t="shared" si="19"/>
        <v>SUCCESS</v>
      </c>
      <c r="Z63" s="3" t="str">
        <f t="shared" si="20"/>
        <v>SUCCESS</v>
      </c>
    </row>
    <row r="64" spans="1:26">
      <c r="A64" s="58">
        <f>IF(H63="AFIII",VLOOKUP(D64,Sheet1!$K$4:$S$19,5,FALSE),IF(H63="UBIII",VLOOKUP(D64,Sheet1!$K$4:$S$19,8,FALSE),VLOOKUP(D64,Sheet1!$K$4:$S$19,2,FALSE)))</f>
        <v>340</v>
      </c>
      <c r="B64" s="80">
        <f t="shared" si="4"/>
        <v>23033.199999999997</v>
      </c>
      <c r="C64" s="60">
        <f t="shared" si="50"/>
        <v>158.62600000000009</v>
      </c>
      <c r="D64" s="40" t="s">
        <v>21</v>
      </c>
      <c r="E64" s="56">
        <f>IF(H63="AFIII",VLOOKUP($D64,Sheet1!$A$34:$K$48,5,FALSE),IF(H63="UBIII",VLOOKUP($D64,Sheet1!$A$34:$K$48,8,FALSE),VLOOKUP($D64,Sheet1!$A$34:$K$48,2,FALSE)))</f>
        <v>3.34</v>
      </c>
      <c r="F64" s="56">
        <f>ROUNDDOWN((IF(H63="AFIII",VLOOKUP($D64,Sheet1!$A$34:$K$48,5,FALSE),IF(H63="UBIII",VLOOKUP($D64,Sheet1!$A$34:$K$48,8,FALSE),VLOOKUP($D64,Sheet1!$A$34:$K$48,2,FALSE))))*0.85,2)</f>
        <v>2.83</v>
      </c>
      <c r="G64" s="56">
        <f t="shared" si="5"/>
        <v>3.34</v>
      </c>
      <c r="H64" s="61" t="s">
        <v>122</v>
      </c>
      <c r="I64" s="56">
        <f t="shared" si="54"/>
        <v>6.66</v>
      </c>
      <c r="K64" s="56">
        <f t="shared" si="48"/>
        <v>4.25</v>
      </c>
      <c r="L64" s="56">
        <f t="shared" si="49"/>
        <v>47.749999999999972</v>
      </c>
      <c r="R64" s="56">
        <f t="shared" si="53"/>
        <v>23.040000000000003</v>
      </c>
      <c r="U64" s="71">
        <f t="shared" si="52"/>
        <v>50.609999999999957</v>
      </c>
      <c r="V64" s="44">
        <f>IF(H63="AFIII",VLOOKUP(D64,Sheet1!$A$4:$H$18,5,FALSE),IF(H63="UBIII",VLOOKUP(D64,Sheet1!$A$4:$H$18,8,FALSE),IF(H63="",VLOOKUP(D64,Sheet1!$A$4:$H$18,2,FALSE),"0")))</f>
        <v>1414</v>
      </c>
      <c r="W64" s="44">
        <f t="shared" si="46"/>
        <v>7033</v>
      </c>
      <c r="X64" s="48">
        <f t="shared" si="47"/>
        <v>7226</v>
      </c>
      <c r="Y64" s="3" t="str">
        <f t="shared" si="19"/>
        <v>SUCCESS</v>
      </c>
      <c r="Z64" s="3" t="str">
        <f t="shared" si="20"/>
        <v>SUCCESS</v>
      </c>
    </row>
    <row r="65" spans="1:27">
      <c r="A65" s="58">
        <f>IF(H64="AFIII",VLOOKUP(D65,Sheet1!$K$4:$S$19,5,FALSE),IF(H64="UBIII",VLOOKUP(D65,Sheet1!$K$4:$S$19,8,FALSE),VLOOKUP(D65,Sheet1!$K$4:$S$19,2,FALSE)))</f>
        <v>280</v>
      </c>
      <c r="B65" s="80">
        <f t="shared" si="4"/>
        <v>23313.199999999997</v>
      </c>
      <c r="C65" s="60">
        <f t="shared" si="50"/>
        <v>161.4860000000001</v>
      </c>
      <c r="D65" s="40" t="s">
        <v>14</v>
      </c>
      <c r="E65" s="56">
        <f>IF(H64="AFIII",VLOOKUP($D65,Sheet1!$A$34:$K$48,5,FALSE),IF(H64="UBIII",VLOOKUP($D65,Sheet1!$A$34:$K$48,8,FALSE),VLOOKUP($D65,Sheet1!$A$34:$K$48,2,FALSE)))</f>
        <v>2.86</v>
      </c>
      <c r="F65" s="56">
        <f>ROUNDDOWN((IF(H64="AFIII",VLOOKUP($D65,Sheet1!$A$34:$K$48,5,FALSE),IF(H64="UBIII",VLOOKUP($D65,Sheet1!$A$34:$K$48,8,FALSE),VLOOKUP($D65,Sheet1!$A$34:$K$48,2,FALSE))))*0.85,2)</f>
        <v>2.4300000000000002</v>
      </c>
      <c r="G65" s="56">
        <f t="shared" si="5"/>
        <v>2.86</v>
      </c>
      <c r="H65" s="61" t="s">
        <v>122</v>
      </c>
      <c r="I65" s="56">
        <f t="shared" si="54"/>
        <v>3.8000000000000003</v>
      </c>
      <c r="K65" s="56">
        <v>20</v>
      </c>
      <c r="L65" s="56">
        <f t="shared" si="49"/>
        <v>44.889999999999972</v>
      </c>
      <c r="R65" s="56">
        <f t="shared" si="53"/>
        <v>20.180000000000003</v>
      </c>
      <c r="U65" s="71">
        <f t="shared" si="52"/>
        <v>47.749999999999957</v>
      </c>
      <c r="V65" s="44">
        <f>IF(H64="AFIII",VLOOKUP(D65,Sheet1!$A$4:$H$18,5,FALSE),IF(H64="UBIII",VLOOKUP(D65,Sheet1!$A$4:$H$18,8,FALSE),IF(H64="",VLOOKUP(D65,Sheet1!$A$4:$H$18,2,FALSE),"0")))</f>
        <v>884</v>
      </c>
      <c r="W65" s="44">
        <f t="shared" si="46"/>
        <v>7033</v>
      </c>
      <c r="X65" s="48">
        <f t="shared" si="47"/>
        <v>10622</v>
      </c>
      <c r="Y65" s="3" t="str">
        <f t="shared" si="19"/>
        <v>SUCCESS</v>
      </c>
      <c r="Z65" s="3" t="str">
        <f t="shared" si="20"/>
        <v>SUCCESS</v>
      </c>
    </row>
    <row r="66" spans="1:27">
      <c r="A66" s="58">
        <f>IF(H65="AFIII",VLOOKUP(D66,Sheet1!$K$4:$S$19,5,FALSE),IF(H65="UBIII",VLOOKUP(D66,Sheet1!$K$4:$S$19,8,FALSE),VLOOKUP(D66,Sheet1!$K$4:$S$19,2,FALSE)))</f>
        <v>168</v>
      </c>
      <c r="B66" s="80">
        <f t="shared" si="4"/>
        <v>23481.199999999997</v>
      </c>
      <c r="C66" s="60">
        <f t="shared" si="50"/>
        <v>163.87600000000009</v>
      </c>
      <c r="D66" s="40" t="s">
        <v>4</v>
      </c>
      <c r="E66" s="56">
        <f>IF(H65="AFIII",VLOOKUP($D66,Sheet1!$A$34:$K$48,5,FALSE),IF(H65="UBIII",VLOOKUP($D66,Sheet1!$A$34:$K$48,8,FALSE),VLOOKUP($D66,Sheet1!$A$34:$K$48,2,FALSE)))</f>
        <v>1.67</v>
      </c>
      <c r="F66" s="56">
        <f>ROUNDDOWN((IF(H65="AFIII",VLOOKUP($D66,Sheet1!$A$34:$K$48,5,FALSE),IF(H65="UBIII",VLOOKUP($D66,Sheet1!$A$34:$K$48,8,FALSE),VLOOKUP($D66,Sheet1!$A$34:$K$48,2,FALSE))))*0.85,2)</f>
        <v>1.41</v>
      </c>
      <c r="G66" s="56">
        <f t="shared" si="5"/>
        <v>2.39</v>
      </c>
      <c r="H66" s="61" t="s">
        <v>84</v>
      </c>
      <c r="I66" s="56">
        <v>10</v>
      </c>
      <c r="K66" s="56">
        <f t="shared" si="48"/>
        <v>17.61</v>
      </c>
      <c r="L66" s="56">
        <f t="shared" si="49"/>
        <v>42.499999999999972</v>
      </c>
      <c r="R66" s="56">
        <f t="shared" si="53"/>
        <v>17.790000000000003</v>
      </c>
      <c r="U66" s="71">
        <f t="shared" si="52"/>
        <v>45.359999999999957</v>
      </c>
      <c r="V66" s="44">
        <f>IF(H65="AFIII",VLOOKUP(D66,Sheet1!$A$4:$H$18,5,FALSE),IF(H65="UBIII",VLOOKUP(D66,Sheet1!$A$4:$H$18,8,FALSE),IF(H65="",VLOOKUP(D66,Sheet1!$A$4:$H$18,2,FALSE),"0")))</f>
        <v>442</v>
      </c>
      <c r="W66" s="44">
        <f t="shared" si="46"/>
        <v>7033</v>
      </c>
      <c r="X66" s="48">
        <f t="shared" si="47"/>
        <v>11064</v>
      </c>
      <c r="Y66" s="3" t="str">
        <f t="shared" si="19"/>
        <v>SUCCESS</v>
      </c>
      <c r="Z66" s="3" t="str">
        <f t="shared" si="20"/>
        <v>SUCCESS</v>
      </c>
    </row>
    <row r="67" spans="1:27">
      <c r="A67" s="58">
        <f>IF(H66="AFIII",VLOOKUP(D67,Sheet1!$K$4:$S$19,5,FALSE),IF(H66="UBIII",VLOOKUP(D67,Sheet1!$K$4:$S$19,8,FALSE),VLOOKUP(D67,Sheet1!$K$4:$S$19,2,FALSE)))</f>
        <v>504</v>
      </c>
      <c r="B67" s="80">
        <f t="shared" si="4"/>
        <v>23985.199999999997</v>
      </c>
      <c r="C67" s="60">
        <f t="shared" si="50"/>
        <v>166.7360000000001</v>
      </c>
      <c r="D67" s="40" t="s">
        <v>6</v>
      </c>
      <c r="E67" s="56">
        <f>IF(H66="AFIII",VLOOKUP($D67,Sheet1!$A$34:$K$48,5,FALSE),IF(H66="UBIII",VLOOKUP($D67,Sheet1!$A$34:$K$48,8,FALSE),VLOOKUP($D67,Sheet1!$A$34:$K$48,2,FALSE)))</f>
        <v>2.86</v>
      </c>
      <c r="F67" s="56">
        <f>ROUNDDOWN((IF(H66="AFIII",VLOOKUP($D67,Sheet1!$A$34:$K$48,5,FALSE),IF(H66="UBIII",VLOOKUP($D67,Sheet1!$A$34:$K$48,8,FALSE),VLOOKUP($D67,Sheet1!$A$34:$K$48,2,FALSE))))*0.85,2)</f>
        <v>2.4300000000000002</v>
      </c>
      <c r="G67" s="56">
        <f t="shared" si="5"/>
        <v>2.86</v>
      </c>
      <c r="H67" s="61" t="s">
        <v>84</v>
      </c>
      <c r="I67" s="56">
        <f t="shared" si="54"/>
        <v>7.1400000000000006</v>
      </c>
      <c r="K67" s="56">
        <f t="shared" si="48"/>
        <v>14.75</v>
      </c>
      <c r="L67" s="56">
        <f t="shared" si="49"/>
        <v>39.639999999999972</v>
      </c>
      <c r="R67" s="56">
        <f t="shared" si="53"/>
        <v>14.930000000000003</v>
      </c>
      <c r="U67" s="71">
        <f t="shared" si="52"/>
        <v>42.499999999999957</v>
      </c>
      <c r="V67" s="44">
        <f>IF(H66="AFIII",VLOOKUP(D67,Sheet1!$A$4:$H$18,5,FALSE),IF(H66="UBIII",VLOOKUP(D67,Sheet1!$A$4:$H$18,8,FALSE),IF(H66="",VLOOKUP(D67,Sheet1!$A$4:$H$18,2,FALSE),"0")))</f>
        <v>1768</v>
      </c>
      <c r="W67" s="44">
        <f t="shared" si="46"/>
        <v>0</v>
      </c>
      <c r="X67" s="48">
        <f t="shared" si="47"/>
        <v>9296</v>
      </c>
      <c r="Y67" s="3" t="str">
        <f t="shared" si="19"/>
        <v>SUCCESS</v>
      </c>
      <c r="Z67" s="3" t="str">
        <f t="shared" si="20"/>
        <v>SUCCESS</v>
      </c>
    </row>
    <row r="68" spans="1:27">
      <c r="A68" s="58">
        <f>IF(H67="AFIII",VLOOKUP(D68,Sheet1!$K$4:$S$19,5,FALSE),IF(H67="UBIII",VLOOKUP(D68,Sheet1!$K$4:$S$19,8,FALSE),VLOOKUP(D68,Sheet1!$K$4:$S$19,2,FALSE)))</f>
        <v>504</v>
      </c>
      <c r="B68" s="80">
        <f t="shared" si="4"/>
        <v>24489.199999999997</v>
      </c>
      <c r="C68" s="60">
        <f t="shared" si="50"/>
        <v>169.59600000000012</v>
      </c>
      <c r="D68" s="40" t="s">
        <v>6</v>
      </c>
      <c r="E68" s="56">
        <f>IF(H67="AFIII",VLOOKUP($D68,Sheet1!$A$34:$K$48,5,FALSE),IF(H67="UBIII",VLOOKUP($D68,Sheet1!$A$34:$K$48,8,FALSE),VLOOKUP($D68,Sheet1!$A$34:$K$48,2,FALSE)))</f>
        <v>2.86</v>
      </c>
      <c r="F68" s="56">
        <f>ROUNDDOWN((IF(H67="AFIII",VLOOKUP($D68,Sheet1!$A$34:$K$48,5,FALSE),IF(H67="UBIII",VLOOKUP($D68,Sheet1!$A$34:$K$48,8,FALSE),VLOOKUP($D68,Sheet1!$A$34:$K$48,2,FALSE))))*0.85,2)</f>
        <v>2.4300000000000002</v>
      </c>
      <c r="G68" s="56">
        <f t="shared" si="5"/>
        <v>2.86</v>
      </c>
      <c r="H68" s="61" t="s">
        <v>84</v>
      </c>
      <c r="I68" s="56">
        <f t="shared" si="54"/>
        <v>4.2800000000000011</v>
      </c>
      <c r="K68" s="56">
        <f t="shared" si="48"/>
        <v>11.89</v>
      </c>
      <c r="L68" s="56">
        <f t="shared" si="49"/>
        <v>36.779999999999973</v>
      </c>
      <c r="R68" s="56">
        <f t="shared" si="53"/>
        <v>12.070000000000004</v>
      </c>
      <c r="U68" s="71">
        <f t="shared" si="52"/>
        <v>39.639999999999958</v>
      </c>
      <c r="V68" s="44">
        <f>IF(H67="AFIII",VLOOKUP(D68,Sheet1!$A$4:$H$18,5,FALSE),IF(H67="UBIII",VLOOKUP(D68,Sheet1!$A$4:$H$18,8,FALSE),IF(H67="",VLOOKUP(D68,Sheet1!$A$4:$H$18,2,FALSE),"0")))</f>
        <v>1768</v>
      </c>
      <c r="W68" s="44">
        <f t="shared" si="46"/>
        <v>0</v>
      </c>
      <c r="X68" s="48">
        <f t="shared" si="47"/>
        <v>7528</v>
      </c>
      <c r="Y68" s="3" t="str">
        <f t="shared" si="19"/>
        <v>SUCCESS</v>
      </c>
      <c r="Z68" s="3" t="str">
        <f t="shared" si="20"/>
        <v>SUCCESS</v>
      </c>
    </row>
    <row r="69" spans="1:27">
      <c r="A69" s="58">
        <f>IF(H68="AFIII",VLOOKUP(D69,Sheet1!$K$4:$S$19,5,FALSE),IF(H68="UBIII",VLOOKUP(D69,Sheet1!$K$4:$S$19,8,FALSE),VLOOKUP(D69,Sheet1!$K$4:$S$19,2,FALSE)))</f>
        <v>496.8</v>
      </c>
      <c r="B69" s="80">
        <f t="shared" si="4"/>
        <v>24985.999999999996</v>
      </c>
      <c r="C69" s="60">
        <f t="shared" si="50"/>
        <v>172.94200000000012</v>
      </c>
      <c r="D69" s="40" t="s">
        <v>137</v>
      </c>
      <c r="E69" s="56">
        <f>IF(H68="AFIII",VLOOKUP($D69,Sheet1!$A$34:$K$48,5,FALSE),IF(H68="UBIII",VLOOKUP($D69,Sheet1!$A$34:$K$48,8,FALSE),VLOOKUP($D69,Sheet1!$A$34:$K$48,2,FALSE)))</f>
        <v>3.3460000000000001</v>
      </c>
      <c r="F69" s="56">
        <f>ROUNDDOWN((IF(H68="AFIII",VLOOKUP($D69,Sheet1!$A$34:$K$48,5,FALSE),IF(H68="UBIII",VLOOKUP($D69,Sheet1!$A$34:$K$48,8,FALSE),VLOOKUP($D69,Sheet1!$A$34:$K$48,2,FALSE))))*0.85,2)</f>
        <v>2.84</v>
      </c>
      <c r="G69" s="56">
        <f t="shared" si="5"/>
        <v>3.3460000000000001</v>
      </c>
      <c r="H69" s="61" t="s">
        <v>84</v>
      </c>
      <c r="I69" s="56">
        <v>10</v>
      </c>
      <c r="K69" s="56">
        <f t="shared" si="48"/>
        <v>8.5440000000000005</v>
      </c>
      <c r="L69" s="56">
        <f t="shared" si="49"/>
        <v>33.433999999999969</v>
      </c>
      <c r="R69" s="56">
        <f t="shared" si="53"/>
        <v>8.7240000000000038</v>
      </c>
      <c r="U69" s="71">
        <f t="shared" si="52"/>
        <v>36.293999999999954</v>
      </c>
      <c r="V69" s="44">
        <f>IF(H68="AFIII",VLOOKUP(D69,Sheet1!$A$4:$H$18,5,FALSE),IF(H68="UBIII",VLOOKUP(D69,Sheet1!$A$4:$H$18,8,FALSE),IF(H68="",VLOOKUP(D69,Sheet1!$A$4:$H$18,2,FALSE),"0")))</f>
        <v>2120</v>
      </c>
      <c r="W69" s="44">
        <f t="shared" si="46"/>
        <v>0</v>
      </c>
      <c r="X69" s="48">
        <f t="shared" si="47"/>
        <v>5408</v>
      </c>
      <c r="Y69" s="3" t="str">
        <f t="shared" si="19"/>
        <v>SUCCESS</v>
      </c>
      <c r="Z69" s="3" t="str">
        <f t="shared" si="20"/>
        <v>SUCCESS</v>
      </c>
    </row>
    <row r="70" spans="1:27">
      <c r="A70" s="58">
        <f>IF(H69="AFIII",VLOOKUP(D70,Sheet1!$K$4:$S$19,5,FALSE),IF(H69="UBIII",VLOOKUP(D70,Sheet1!$K$4:$S$19,8,FALSE),VLOOKUP(D70,Sheet1!$K$4:$S$19,2,FALSE)))</f>
        <v>504</v>
      </c>
      <c r="B70" s="80">
        <f t="shared" ref="B70:B79" si="55">B69+A70</f>
        <v>25489.999999999996</v>
      </c>
      <c r="C70" s="60">
        <f t="shared" si="50"/>
        <v>175.80200000000013</v>
      </c>
      <c r="D70" s="40" t="s">
        <v>6</v>
      </c>
      <c r="E70" s="56">
        <f>IF(H69="AFIII",VLOOKUP($D70,Sheet1!$A$34:$K$48,5,FALSE),IF(H69="UBIII",VLOOKUP($D70,Sheet1!$A$34:$K$48,8,FALSE),VLOOKUP($D70,Sheet1!$A$34:$K$48,2,FALSE)))</f>
        <v>2.86</v>
      </c>
      <c r="F70" s="56">
        <f>ROUNDDOWN((IF(H69="AFIII",VLOOKUP($D70,Sheet1!$A$34:$K$48,5,FALSE),IF(H69="UBIII",VLOOKUP($D70,Sheet1!$A$34:$K$48,8,FALSE),VLOOKUP($D70,Sheet1!$A$34:$K$48,2,FALSE))))*0.85,2)</f>
        <v>2.4300000000000002</v>
      </c>
      <c r="G70" s="56">
        <f t="shared" ref="G70:G77" si="56">IF(M69="迅速",IF(S69="黒魔紋",$F$1,$E$1),IF(S69="黒魔紋",IF(F70&lt;$F$1,$F$1,F70),IF(E70&lt;$E$1,$E$1,E70)))</f>
        <v>2.86</v>
      </c>
      <c r="H70" s="61" t="s">
        <v>84</v>
      </c>
      <c r="I70" s="56">
        <f t="shared" si="54"/>
        <v>7.1400000000000006</v>
      </c>
      <c r="K70" s="56">
        <f t="shared" si="48"/>
        <v>5.6840000000000011</v>
      </c>
      <c r="L70" s="56">
        <f t="shared" si="49"/>
        <v>30.57399999999997</v>
      </c>
      <c r="R70" s="56">
        <f>R69-G70</f>
        <v>5.8640000000000043</v>
      </c>
      <c r="U70" s="71">
        <f t="shared" si="52"/>
        <v>33.433999999999955</v>
      </c>
      <c r="V70" s="44">
        <f>IF(H69="AFIII",VLOOKUP(D70,Sheet1!$A$4:$H$18,5,FALSE),IF(H69="UBIII",VLOOKUP(D70,Sheet1!$A$4:$H$18,8,FALSE),IF(H69="",VLOOKUP(D70,Sheet1!$A$4:$H$18,2,FALSE),"0")))</f>
        <v>1768</v>
      </c>
      <c r="W70" s="44">
        <f t="shared" si="46"/>
        <v>0</v>
      </c>
      <c r="X70" s="48">
        <f t="shared" si="47"/>
        <v>3640</v>
      </c>
      <c r="Y70" s="3" t="str">
        <f t="shared" si="19"/>
        <v>SUCCESS</v>
      </c>
      <c r="Z70" s="3" t="str">
        <f t="shared" si="20"/>
        <v>SUCCESS</v>
      </c>
    </row>
    <row r="71" spans="1:27">
      <c r="A71" s="58">
        <f>IF(H70="AFIII",VLOOKUP(D71,Sheet1!$K$4:$S$19,5,FALSE),IF(H70="UBIII",VLOOKUP(D71,Sheet1!$K$4:$S$19,8,FALSE),VLOOKUP(D71,Sheet1!$K$4:$S$19,2,FALSE)))</f>
        <v>168</v>
      </c>
      <c r="B71" s="80">
        <f t="shared" si="55"/>
        <v>25657.999999999996</v>
      </c>
      <c r="C71" s="60">
        <f t="shared" si="50"/>
        <v>178.19200000000012</v>
      </c>
      <c r="D71" s="40" t="s">
        <v>12</v>
      </c>
      <c r="E71" s="56">
        <f>IF(H70="AFIII",VLOOKUP($D71,Sheet1!$A$34:$K$48,5,FALSE),IF(H70="UBIII",VLOOKUP($D71,Sheet1!$A$34:$K$48,8,FALSE),VLOOKUP($D71,Sheet1!$A$34:$K$48,2,FALSE)))</f>
        <v>1.67</v>
      </c>
      <c r="F71" s="56">
        <f>ROUNDDOWN((IF(H70="AFIII",VLOOKUP($D71,Sheet1!$A$34:$K$48,5,FALSE),IF(H70="UBIII",VLOOKUP($D71,Sheet1!$A$34:$K$48,8,FALSE),VLOOKUP($D71,Sheet1!$A$34:$K$48,2,FALSE))))*0.85,2)</f>
        <v>1.41</v>
      </c>
      <c r="G71" s="56">
        <f t="shared" si="56"/>
        <v>2.39</v>
      </c>
      <c r="H71" s="61" t="s">
        <v>122</v>
      </c>
      <c r="I71" s="56">
        <f t="shared" si="54"/>
        <v>4.75</v>
      </c>
      <c r="K71" s="56">
        <f t="shared" si="48"/>
        <v>3.2940000000000009</v>
      </c>
      <c r="L71" s="56">
        <f t="shared" si="49"/>
        <v>28.183999999999969</v>
      </c>
      <c r="R71" s="56">
        <f t="shared" si="53"/>
        <v>3.4740000000000042</v>
      </c>
      <c r="U71" s="71">
        <f t="shared" si="52"/>
        <v>31.043999999999954</v>
      </c>
      <c r="V71" s="44">
        <f>IF(H70="AFIII",VLOOKUP(D71,Sheet1!$A$4:$H$18,5,FALSE),IF(H70="UBIII",VLOOKUP(D71,Sheet1!$A$4:$H$18,8,FALSE),IF(H70="",VLOOKUP(D71,Sheet1!$A$4:$H$18,2,FALSE),"0")))</f>
        <v>265</v>
      </c>
      <c r="W71" s="44">
        <f t="shared" si="46"/>
        <v>0</v>
      </c>
      <c r="X71" s="48">
        <f t="shared" si="47"/>
        <v>3375</v>
      </c>
      <c r="Y71" s="3" t="str">
        <f t="shared" si="19"/>
        <v>SUCCESS</v>
      </c>
      <c r="Z71" s="3" t="str">
        <f t="shared" si="20"/>
        <v>SUCCESS</v>
      </c>
    </row>
    <row r="72" spans="1:27">
      <c r="A72" s="58">
        <f>IF(H71="AFIII",VLOOKUP(D72,Sheet1!$K$4:$S$19,5,FALSE),IF(H71="UBIII",VLOOKUP(D72,Sheet1!$K$4:$S$19,8,FALSE),VLOOKUP(D72,Sheet1!$K$4:$S$19,2,FALSE)))</f>
        <v>280</v>
      </c>
      <c r="B72" s="80">
        <f t="shared" si="55"/>
        <v>25937.999999999996</v>
      </c>
      <c r="C72" s="60">
        <f t="shared" si="50"/>
        <v>181.05200000000013</v>
      </c>
      <c r="D72" s="40" t="s">
        <v>14</v>
      </c>
      <c r="E72" s="56">
        <f>IF(H71="AFIII",VLOOKUP($D72,Sheet1!$A$34:$K$48,5,FALSE),IF(H71="UBIII",VLOOKUP($D72,Sheet1!$A$34:$K$48,8,FALSE),VLOOKUP($D72,Sheet1!$A$34:$K$48,2,FALSE)))</f>
        <v>2.86</v>
      </c>
      <c r="F72" s="56">
        <f>ROUNDDOWN((IF(H71="AFIII",VLOOKUP($D72,Sheet1!$A$34:$K$48,5,FALSE),IF(H71="UBIII",VLOOKUP($D72,Sheet1!$A$34:$K$48,8,FALSE),VLOOKUP($D72,Sheet1!$A$34:$K$48,2,FALSE))))*0.85,2)</f>
        <v>2.4300000000000002</v>
      </c>
      <c r="G72" s="56">
        <f t="shared" si="56"/>
        <v>2.86</v>
      </c>
      <c r="H72" s="61" t="s">
        <v>122</v>
      </c>
      <c r="I72" s="56">
        <f t="shared" si="54"/>
        <v>1.8900000000000001</v>
      </c>
      <c r="K72" s="56">
        <v>15</v>
      </c>
      <c r="L72" s="56">
        <f t="shared" si="49"/>
        <v>25.32399999999997</v>
      </c>
      <c r="R72" s="56">
        <f t="shared" si="53"/>
        <v>0.61400000000000432</v>
      </c>
      <c r="U72" s="71">
        <f t="shared" si="52"/>
        <v>28.183999999999955</v>
      </c>
      <c r="V72" s="44">
        <f>IF(H71="AFIII",VLOOKUP(D72,Sheet1!$A$4:$H$18,5,FALSE),IF(H71="UBIII",VLOOKUP(D72,Sheet1!$A$4:$H$18,8,FALSE),IF(H71="",VLOOKUP(D72,Sheet1!$A$4:$H$18,2,FALSE),"0")))</f>
        <v>884</v>
      </c>
      <c r="W72" s="44">
        <f t="shared" si="46"/>
        <v>7033</v>
      </c>
      <c r="X72" s="48">
        <f t="shared" si="47"/>
        <v>9524</v>
      </c>
      <c r="Y72" s="3" t="str">
        <f t="shared" si="19"/>
        <v>SUCCESS</v>
      </c>
      <c r="Z72" s="3" t="str">
        <f t="shared" si="20"/>
        <v>SUCCESS</v>
      </c>
    </row>
    <row r="73" spans="1:27">
      <c r="A73" s="58">
        <f>IF(H72="AFIII",VLOOKUP(D73,Sheet1!$K$4:$S$19,5,FALSE),IF(H72="UBIII",VLOOKUP(D73,Sheet1!$K$4:$S$19,8,FALSE),VLOOKUP(D73,Sheet1!$K$4:$S$19,2,FALSE)))</f>
        <v>168</v>
      </c>
      <c r="B73" s="80">
        <f t="shared" si="55"/>
        <v>26105.999999999996</v>
      </c>
      <c r="C73" s="60">
        <f t="shared" si="50"/>
        <v>183.44200000000012</v>
      </c>
      <c r="D73" s="40" t="s">
        <v>4</v>
      </c>
      <c r="E73" s="56">
        <f>IF(H72="AFIII",VLOOKUP($D73,Sheet1!$A$34:$K$48,5,FALSE),IF(H72="UBIII",VLOOKUP($D73,Sheet1!$A$34:$K$48,8,FALSE),VLOOKUP($D73,Sheet1!$A$34:$K$48,2,FALSE)))</f>
        <v>1.67</v>
      </c>
      <c r="F73" s="56">
        <f>ROUNDDOWN((IF(H72="AFIII",VLOOKUP($D73,Sheet1!$A$34:$K$48,5,FALSE),IF(H72="UBIII",VLOOKUP($D73,Sheet1!$A$34:$K$48,8,FALSE),VLOOKUP($D73,Sheet1!$A$34:$K$48,2,FALSE))))*0.85,2)</f>
        <v>1.41</v>
      </c>
      <c r="G73" s="56">
        <f t="shared" si="56"/>
        <v>2.39</v>
      </c>
      <c r="H73" s="61" t="s">
        <v>84</v>
      </c>
      <c r="I73" s="56">
        <v>10</v>
      </c>
      <c r="K73" s="56">
        <f t="shared" si="48"/>
        <v>12.61</v>
      </c>
      <c r="L73" s="56">
        <f t="shared" si="49"/>
        <v>22.933999999999969</v>
      </c>
      <c r="R73" s="56">
        <f t="shared" si="53"/>
        <v>-1.7759999999999958</v>
      </c>
      <c r="U73" s="71">
        <f t="shared" si="52"/>
        <v>25.793999999999954</v>
      </c>
      <c r="V73" s="44">
        <f>IF(H72="AFIII",VLOOKUP(D73,Sheet1!$A$4:$H$18,5,FALSE),IF(H72="UBIII",VLOOKUP(D73,Sheet1!$A$4:$H$18,8,FALSE),IF(H72="",VLOOKUP(D73,Sheet1!$A$4:$H$18,2,FALSE),"0")))</f>
        <v>442</v>
      </c>
      <c r="W73" s="44">
        <f t="shared" si="46"/>
        <v>7033</v>
      </c>
      <c r="X73" s="48">
        <f t="shared" si="47"/>
        <v>11064</v>
      </c>
      <c r="Y73" s="3" t="str">
        <f t="shared" si="19"/>
        <v>SUCCESS</v>
      </c>
      <c r="Z73" s="3" t="str">
        <f t="shared" si="20"/>
        <v>SUCCESS</v>
      </c>
    </row>
    <row r="74" spans="1:27">
      <c r="A74" s="58">
        <f>IF(H73="AFIII",VLOOKUP(D74,Sheet1!$K$4:$S$19,5,FALSE),IF(H73="UBIII",VLOOKUP(D74,Sheet1!$K$4:$S$19,8,FALSE),VLOOKUP(D74,Sheet1!$K$4:$S$19,2,FALSE)))</f>
        <v>504</v>
      </c>
      <c r="B74" s="80">
        <f t="shared" si="55"/>
        <v>26609.999999999996</v>
      </c>
      <c r="C74" s="60">
        <f t="shared" ref="C74:C112" si="57">C73+G74</f>
        <v>186.30200000000013</v>
      </c>
      <c r="D74" s="40" t="s">
        <v>6</v>
      </c>
      <c r="E74" s="56">
        <f>IF(H73="AFIII",VLOOKUP($D74,Sheet1!$A$34:$K$48,5,FALSE),IF(H73="UBIII",VLOOKUP($D74,Sheet1!$A$34:$K$48,8,FALSE),VLOOKUP($D74,Sheet1!$A$34:$K$48,2,FALSE)))</f>
        <v>2.86</v>
      </c>
      <c r="F74" s="56">
        <f>ROUNDDOWN((IF(H73="AFIII",VLOOKUP($D74,Sheet1!$A$34:$K$48,5,FALSE),IF(H73="UBIII",VLOOKUP($D74,Sheet1!$A$34:$K$48,8,FALSE),VLOOKUP($D74,Sheet1!$A$34:$K$48,2,FALSE))))*0.85,2)</f>
        <v>2.4300000000000002</v>
      </c>
      <c r="G74" s="56">
        <f t="shared" si="56"/>
        <v>2.86</v>
      </c>
      <c r="H74" s="61" t="s">
        <v>84</v>
      </c>
      <c r="I74" s="56">
        <f t="shared" ref="I74:I112" si="58">I73-G74</f>
        <v>7.1400000000000006</v>
      </c>
      <c r="K74" s="56">
        <f t="shared" ref="K74:K112" si="59">K73-G74</f>
        <v>9.75</v>
      </c>
      <c r="L74" s="56">
        <f t="shared" ref="L74:L112" si="60">L73-G74</f>
        <v>20.07399999999997</v>
      </c>
      <c r="R74" s="56">
        <f t="shared" si="53"/>
        <v>-4.6359999999999957</v>
      </c>
      <c r="U74" s="71">
        <f t="shared" ref="U74:U112" si="61">U73-G74</f>
        <v>22.933999999999955</v>
      </c>
      <c r="V74" s="44">
        <f>IF(H73="AFIII",VLOOKUP(D74,Sheet1!$A$4:$H$18,5,FALSE),IF(H73="UBIII",VLOOKUP(D74,Sheet1!$A$4:$H$18,8,FALSE),IF(H73="",VLOOKUP(D74,Sheet1!$A$4:$H$18,2,FALSE),"0")))</f>
        <v>1768</v>
      </c>
      <c r="W74" s="44">
        <f t="shared" si="46"/>
        <v>0</v>
      </c>
      <c r="X74" s="48">
        <f t="shared" si="47"/>
        <v>9296</v>
      </c>
      <c r="Y74" s="3" t="str">
        <f t="shared" ref="Y74:Y112" si="62">IF(X73-V74&lt;0,"ERROR","SUCCESS")</f>
        <v>SUCCESS</v>
      </c>
      <c r="Z74" s="3" t="str">
        <f t="shared" ref="Z74:Z112" si="63">IF(K73-G74&lt;0,"ERROR","SUCCESS")</f>
        <v>SUCCESS</v>
      </c>
    </row>
    <row r="75" spans="1:27">
      <c r="A75" s="58">
        <f>IF(H74="AFIII",VLOOKUP(D75,Sheet1!$K$4:$S$19,5,FALSE),IF(H74="UBIII",VLOOKUP(D75,Sheet1!$K$4:$S$19,8,FALSE),VLOOKUP(D75,Sheet1!$K$4:$S$19,2,FALSE)))</f>
        <v>504</v>
      </c>
      <c r="B75" s="80">
        <f t="shared" si="55"/>
        <v>27113.999999999996</v>
      </c>
      <c r="C75" s="60">
        <f t="shared" si="57"/>
        <v>189.16200000000015</v>
      </c>
      <c r="D75" s="40" t="s">
        <v>66</v>
      </c>
      <c r="E75" s="56">
        <f>IF(H74="AFIII",VLOOKUP($D75,Sheet1!$A$34:$K$48,5,FALSE),IF(H74="UBIII",VLOOKUP($D75,Sheet1!$A$34:$K$48,8,FALSE),VLOOKUP($D75,Sheet1!$A$34:$K$48,2,FALSE)))</f>
        <v>2.86</v>
      </c>
      <c r="F75" s="56">
        <f>ROUNDDOWN((IF(H74="AFIII",VLOOKUP($D75,Sheet1!$A$34:$K$48,5,FALSE),IF(H74="UBIII",VLOOKUP($D75,Sheet1!$A$34:$K$48,8,FALSE),VLOOKUP($D75,Sheet1!$A$34:$K$48,2,FALSE))))*0.85,2)</f>
        <v>2.4300000000000002</v>
      </c>
      <c r="G75" s="56">
        <f t="shared" si="56"/>
        <v>2.86</v>
      </c>
      <c r="H75" s="61" t="s">
        <v>84</v>
      </c>
      <c r="I75" s="56">
        <f t="shared" si="58"/>
        <v>4.2800000000000011</v>
      </c>
      <c r="K75" s="56">
        <f t="shared" si="59"/>
        <v>6.8900000000000006</v>
      </c>
      <c r="L75" s="56">
        <f t="shared" si="60"/>
        <v>17.21399999999997</v>
      </c>
      <c r="U75" s="71">
        <f t="shared" si="61"/>
        <v>20.073999999999955</v>
      </c>
      <c r="V75" s="44">
        <f>IF(H74="AFIII",VLOOKUP(D75,Sheet1!$A$4:$H$18,5,FALSE),IF(H74="UBIII",VLOOKUP(D75,Sheet1!$A$4:$H$18,8,FALSE),IF(H74="",VLOOKUP(D75,Sheet1!$A$4:$H$18,2,FALSE),"0")))</f>
        <v>1768</v>
      </c>
      <c r="W75" s="44">
        <f t="shared" si="46"/>
        <v>0</v>
      </c>
      <c r="X75" s="48">
        <f t="shared" si="47"/>
        <v>7528</v>
      </c>
      <c r="Y75" s="3" t="str">
        <f t="shared" si="62"/>
        <v>SUCCESS</v>
      </c>
      <c r="Z75" s="3" t="str">
        <f t="shared" si="63"/>
        <v>SUCCESS</v>
      </c>
    </row>
    <row r="76" spans="1:27">
      <c r="A76" s="58">
        <f>IF(H75="AFIII",VLOOKUP(D76,Sheet1!$K$4:$S$19,5,FALSE),IF(H75="UBIII",VLOOKUP(D76,Sheet1!$K$4:$S$19,8,FALSE),VLOOKUP(D76,Sheet1!$K$4:$S$19,2,FALSE)))</f>
        <v>496.8</v>
      </c>
      <c r="B76" s="80">
        <f t="shared" si="55"/>
        <v>27610.799999999996</v>
      </c>
      <c r="C76" s="60">
        <f t="shared" si="57"/>
        <v>192.50800000000015</v>
      </c>
      <c r="D76" s="40" t="s">
        <v>137</v>
      </c>
      <c r="E76" s="56">
        <f>IF(H75="AFIII",VLOOKUP($D76,Sheet1!$A$34:$K$48,5,FALSE),IF(H75="UBIII",VLOOKUP($D76,Sheet1!$A$34:$K$48,8,FALSE),VLOOKUP($D76,Sheet1!$A$34:$K$48,2,FALSE)))</f>
        <v>3.3460000000000001</v>
      </c>
      <c r="F76" s="56">
        <f>ROUNDDOWN((IF(H75="AFIII",VLOOKUP($D76,Sheet1!$A$34:$K$48,5,FALSE),IF(H75="UBIII",VLOOKUP($D76,Sheet1!$A$34:$K$48,8,FALSE),VLOOKUP($D76,Sheet1!$A$34:$K$48,2,FALSE))))*0.85,2)</f>
        <v>2.84</v>
      </c>
      <c r="G76" s="56">
        <f t="shared" si="56"/>
        <v>3.3460000000000001</v>
      </c>
      <c r="H76" s="61" t="s">
        <v>84</v>
      </c>
      <c r="I76" s="56">
        <v>10</v>
      </c>
      <c r="K76" s="56">
        <f t="shared" si="59"/>
        <v>3.5440000000000005</v>
      </c>
      <c r="L76" s="56">
        <f t="shared" si="60"/>
        <v>13.86799999999997</v>
      </c>
      <c r="U76" s="71">
        <f t="shared" si="61"/>
        <v>16.727999999999955</v>
      </c>
      <c r="V76" s="44">
        <f>IF(H75="AFIII",VLOOKUP(D76,Sheet1!$A$4:$H$18,5,FALSE),IF(H75="UBIII",VLOOKUP(D76,Sheet1!$A$4:$H$18,8,FALSE),IF(H75="",VLOOKUP(D76,Sheet1!$A$4:$H$18,2,FALSE),"0")))</f>
        <v>2120</v>
      </c>
      <c r="W76" s="44">
        <f t="shared" si="46"/>
        <v>0</v>
      </c>
      <c r="X76" s="48">
        <f t="shared" si="47"/>
        <v>5408</v>
      </c>
      <c r="Y76" s="3" t="str">
        <f t="shared" si="62"/>
        <v>SUCCESS</v>
      </c>
      <c r="Z76" s="3" t="str">
        <f t="shared" si="63"/>
        <v>SUCCESS</v>
      </c>
    </row>
    <row r="77" spans="1:27">
      <c r="A77" s="58">
        <f>IF(H76="AFIII",VLOOKUP(D77,Sheet1!$K$4:$S$19,5,FALSE),IF(H76="UBIII",VLOOKUP(D77,Sheet1!$K$4:$S$19,8,FALSE),VLOOKUP(D77,Sheet1!$K$4:$S$19,2,FALSE)))</f>
        <v>504</v>
      </c>
      <c r="B77" s="80">
        <f t="shared" si="55"/>
        <v>28114.799999999996</v>
      </c>
      <c r="C77" s="60">
        <f t="shared" si="57"/>
        <v>195.36800000000017</v>
      </c>
      <c r="D77" s="40" t="s">
        <v>6</v>
      </c>
      <c r="E77" s="56">
        <f>IF(H76="AFIII",VLOOKUP($D77,Sheet1!$A$34:$K$48,5,FALSE),IF(H76="UBIII",VLOOKUP($D77,Sheet1!$A$34:$K$48,8,FALSE),VLOOKUP($D77,Sheet1!$A$34:$K$48,2,FALSE)))</f>
        <v>2.86</v>
      </c>
      <c r="F77" s="56">
        <f>ROUNDDOWN((IF(H76="AFIII",VLOOKUP($D77,Sheet1!$A$34:$K$48,5,FALSE),IF(H76="UBIII",VLOOKUP($D77,Sheet1!$A$34:$K$48,8,FALSE),VLOOKUP($D77,Sheet1!$A$34:$K$48,2,FALSE))))*0.85,2)</f>
        <v>2.4300000000000002</v>
      </c>
      <c r="G77" s="56">
        <f t="shared" si="56"/>
        <v>2.86</v>
      </c>
      <c r="H77" s="61" t="s">
        <v>84</v>
      </c>
      <c r="I77" s="56">
        <f t="shared" si="58"/>
        <v>7.1400000000000006</v>
      </c>
      <c r="K77" s="56">
        <f t="shared" si="59"/>
        <v>0.68400000000000061</v>
      </c>
      <c r="L77" s="56">
        <f t="shared" si="60"/>
        <v>11.007999999999971</v>
      </c>
      <c r="U77" s="71">
        <f t="shared" si="61"/>
        <v>13.867999999999956</v>
      </c>
      <c r="V77" s="44">
        <f>IF(H76="AFIII",VLOOKUP(D77,Sheet1!$A$4:$H$18,5,FALSE),IF(H76="UBIII",VLOOKUP(D77,Sheet1!$A$4:$H$18,8,FALSE),IF(H76="",VLOOKUP(D77,Sheet1!$A$4:$H$18,2,FALSE),"0")))</f>
        <v>1768</v>
      </c>
      <c r="W77" s="44">
        <f t="shared" ref="W77:W97" si="64">IF(H76="UBIII",$X$2,0)</f>
        <v>0</v>
      </c>
      <c r="X77" s="48">
        <f t="shared" ref="X77:X97" si="65">IF(D77="フレア",IF(M77="コンバート",$X$1,0),IF(X76-V77+W77&gt;$X$3,$X$3-V77,X76-V77+W77))</f>
        <v>3640</v>
      </c>
      <c r="Y77" s="3" t="str">
        <f t="shared" ref="Y77:Y97" si="66">IF(X76-V77&lt;0,"ERROR","SUCCESS")</f>
        <v>SUCCESS</v>
      </c>
      <c r="Z77" s="3" t="str">
        <f t="shared" ref="Z77:Z97" si="67">IF(K76-G77&lt;0,"ERROR","SUCCESS")</f>
        <v>SUCCESS</v>
      </c>
    </row>
    <row r="78" spans="1:27">
      <c r="A78" s="58">
        <f>IF(H77="AFIII",VLOOKUP(D78,Sheet1!$K$4:$S$19,5,FALSE),IF(H77="UBIII",VLOOKUP(D78,Sheet1!$K$4:$S$19,8,FALSE),VLOOKUP(D78,Sheet1!$K$4:$S$19,2,FALSE)))</f>
        <v>168</v>
      </c>
      <c r="B78" s="80">
        <f t="shared" si="55"/>
        <v>28282.799999999996</v>
      </c>
      <c r="C78" s="60">
        <f t="shared" si="57"/>
        <v>197.75800000000015</v>
      </c>
      <c r="D78" s="40" t="s">
        <v>12</v>
      </c>
      <c r="E78" s="56">
        <f>IF(H77="AFIII",VLOOKUP($D78,Sheet1!$A$34:$K$48,5,FALSE),IF(H77="UBIII",VLOOKUP($D78,Sheet1!$A$34:$K$48,8,FALSE),VLOOKUP($D78,Sheet1!$A$34:$K$48,2,FALSE)))</f>
        <v>1.67</v>
      </c>
      <c r="F78" s="56">
        <f>ROUNDDOWN((IF(H77="AFIII",VLOOKUP($D78,Sheet1!$A$34:$K$48,5,FALSE),IF(H77="UBIII",VLOOKUP($D78,Sheet1!$A$34:$K$48,8,FALSE),VLOOKUP($D78,Sheet1!$A$34:$K$48,2,FALSE))))*0.85,2)</f>
        <v>1.41</v>
      </c>
      <c r="G78" s="56">
        <f t="shared" ref="G78:G97" si="68">IF(M77="迅速",IF(S77="黒魔紋",$F$1,$E$1),IF(S77="黒魔紋",IF(F78&lt;$F$1,$F$1,F78),IF(E78&lt;$E$1,$E$1,E78)))</f>
        <v>2.39</v>
      </c>
      <c r="H78" s="61" t="s">
        <v>122</v>
      </c>
      <c r="I78" s="56">
        <v>10</v>
      </c>
      <c r="L78" s="56">
        <f t="shared" si="60"/>
        <v>8.6179999999999701</v>
      </c>
      <c r="U78" s="71">
        <f t="shared" ref="U78:U82" si="69">U77-G78</f>
        <v>11.477999999999955</v>
      </c>
      <c r="V78" s="44">
        <f>IF(H77="AFIII",VLOOKUP(D78,Sheet1!$A$4:$H$18,5,FALSE),IF(H77="UBIII",VLOOKUP(D78,Sheet1!$A$4:$H$18,8,FALSE),IF(H77="",VLOOKUP(D78,Sheet1!$A$4:$H$18,2,FALSE),"0")))</f>
        <v>265</v>
      </c>
      <c r="W78" s="44">
        <f t="shared" si="64"/>
        <v>0</v>
      </c>
      <c r="X78" s="48">
        <f t="shared" si="65"/>
        <v>3375</v>
      </c>
      <c r="Y78" s="3" t="str">
        <f t="shared" si="66"/>
        <v>SUCCESS</v>
      </c>
      <c r="Z78" s="3" t="str">
        <f t="shared" si="67"/>
        <v>ERROR</v>
      </c>
    </row>
    <row r="79" spans="1:27" ht="15" thickBot="1">
      <c r="A79" s="58">
        <f>IF(H78="AFIII",VLOOKUP(D79,Sheet1!$K$4:$S$19,5,FALSE),IF(H78="UBIII",VLOOKUP(D79,Sheet1!$K$4:$S$19,8,FALSE),VLOOKUP(D79,Sheet1!$K$4:$S$19,2,FALSE)))</f>
        <v>340</v>
      </c>
      <c r="B79" s="80">
        <f t="shared" si="55"/>
        <v>28622.799999999996</v>
      </c>
      <c r="C79" s="60">
        <f t="shared" si="57"/>
        <v>201.09800000000016</v>
      </c>
      <c r="D79" s="40" t="s">
        <v>21</v>
      </c>
      <c r="E79" s="56">
        <f>IF(H78="AFIII",VLOOKUP($D79,Sheet1!$A$34:$K$48,5,FALSE),IF(H78="UBIII",VLOOKUP($D79,Sheet1!$A$34:$K$48,8,FALSE),VLOOKUP($D79,Sheet1!$A$34:$K$48,2,FALSE)))</f>
        <v>3.34</v>
      </c>
      <c r="F79" s="56">
        <f>ROUNDDOWN((IF(H78="AFIII",VLOOKUP($D79,Sheet1!$A$34:$K$48,5,FALSE),IF(H78="UBIII",VLOOKUP($D79,Sheet1!$A$34:$K$48,8,FALSE),VLOOKUP($D79,Sheet1!$A$34:$K$48,2,FALSE))))*0.85,2)</f>
        <v>2.83</v>
      </c>
      <c r="G79" s="56">
        <f t="shared" si="68"/>
        <v>3.34</v>
      </c>
      <c r="H79" s="61" t="s">
        <v>122</v>
      </c>
      <c r="I79" s="56">
        <f>I78-G79</f>
        <v>6.66</v>
      </c>
      <c r="L79" s="56">
        <f t="shared" si="60"/>
        <v>5.2779999999999703</v>
      </c>
      <c r="U79" s="71">
        <f t="shared" si="69"/>
        <v>8.1379999999999555</v>
      </c>
      <c r="V79" s="44">
        <f>IF(H78="AFIII",VLOOKUP(D79,Sheet1!$A$4:$H$18,5,FALSE),IF(H78="UBIII",VLOOKUP(D79,Sheet1!$A$4:$H$18,8,FALSE),IF(H78="",VLOOKUP(D79,Sheet1!$A$4:$H$18,2,FALSE),"0")))</f>
        <v>1414</v>
      </c>
      <c r="W79" s="44">
        <f t="shared" si="64"/>
        <v>7033</v>
      </c>
      <c r="X79" s="48">
        <f t="shared" si="65"/>
        <v>8994</v>
      </c>
      <c r="Y79" s="3" t="str">
        <f t="shared" si="66"/>
        <v>SUCCESS</v>
      </c>
      <c r="Z79" s="3" t="str">
        <f t="shared" si="67"/>
        <v>ERROR</v>
      </c>
    </row>
    <row r="80" spans="1:27" ht="15" thickTop="1">
      <c r="C80" s="72">
        <f t="shared" si="57"/>
        <v>203.48800000000014</v>
      </c>
      <c r="D80" s="79" t="s">
        <v>4</v>
      </c>
      <c r="E80" s="73">
        <f>IF(H79="AFIII",VLOOKUP($D80,Sheet1!$A$34:$K$48,5,FALSE),IF(H79="UBIII",VLOOKUP($D80,Sheet1!$A$34:$K$48,8,FALSE),VLOOKUP($D80,Sheet1!$A$34:$K$48,2,FALSE)))</f>
        <v>1.67</v>
      </c>
      <c r="F80" s="73">
        <f>ROUNDDOWN((IF(H79="AFIII",VLOOKUP($D80,Sheet1!$A$34:$K$48,5,FALSE),IF(H79="UBIII",VLOOKUP($D80,Sheet1!$A$34:$K$48,8,FALSE),VLOOKUP($D80,Sheet1!$A$34:$K$48,2,FALSE))))*0.85,2)</f>
        <v>1.41</v>
      </c>
      <c r="G80" s="73">
        <f t="shared" si="68"/>
        <v>2.39</v>
      </c>
      <c r="H80" s="74" t="s">
        <v>83</v>
      </c>
      <c r="I80" s="73">
        <v>10</v>
      </c>
      <c r="J80" s="74"/>
      <c r="K80" s="73"/>
      <c r="L80" s="73"/>
      <c r="M80" s="74"/>
      <c r="N80" s="73"/>
      <c r="O80" s="73"/>
      <c r="P80" s="74"/>
      <c r="Q80" s="73"/>
      <c r="R80" s="73"/>
      <c r="S80" s="74"/>
      <c r="T80" s="73"/>
      <c r="U80" s="75">
        <f t="shared" si="69"/>
        <v>5.7479999999999549</v>
      </c>
      <c r="V80" s="76">
        <f>IF(H79="AFIII",VLOOKUP(D80,Sheet1!$A$4:$H$18,5,FALSE),IF(H79="UBIII",VLOOKUP(D80,Sheet1!$A$4:$H$18,8,FALSE),IF(H79="",VLOOKUP(D80,Sheet1!$A$4:$H$18,2,FALSE),"0")))</f>
        <v>442</v>
      </c>
      <c r="W80" s="76">
        <f t="shared" si="64"/>
        <v>7033</v>
      </c>
      <c r="X80" s="77">
        <f t="shared" si="65"/>
        <v>11064</v>
      </c>
      <c r="Y80" s="78" t="str">
        <f t="shared" si="66"/>
        <v>SUCCESS</v>
      </c>
      <c r="Z80" s="78" t="str">
        <f t="shared" si="67"/>
        <v>ERROR</v>
      </c>
      <c r="AA80" s="78"/>
    </row>
    <row r="81" spans="3:26">
      <c r="C81" s="60">
        <f t="shared" si="57"/>
        <v>206.83400000000015</v>
      </c>
      <c r="D81" s="40" t="s">
        <v>128</v>
      </c>
      <c r="E81" s="56">
        <f>IF(H80="AFIII",VLOOKUP($D81,Sheet1!$A$34:$K$48,5,FALSE),IF(H80="UBIII",VLOOKUP($D81,Sheet1!$A$34:$K$48,8,FALSE),VLOOKUP($D81,Sheet1!$A$34:$K$48,2,FALSE)))</f>
        <v>3.3460000000000001</v>
      </c>
      <c r="F81" s="56">
        <f>ROUNDDOWN((IF(H80="AFIII",VLOOKUP($D81,Sheet1!$A$34:$K$48,5,FALSE),IF(H80="UBIII",VLOOKUP($D81,Sheet1!$A$34:$K$48,8,FALSE),VLOOKUP($D81,Sheet1!$A$34:$K$48,2,FALSE))))*0.85,2)</f>
        <v>2.84</v>
      </c>
      <c r="G81" s="56">
        <f t="shared" si="68"/>
        <v>3.3460000000000001</v>
      </c>
      <c r="H81" s="61" t="s">
        <v>83</v>
      </c>
      <c r="I81" s="56">
        <f>I80-G81</f>
        <v>6.6539999999999999</v>
      </c>
      <c r="U81" s="71">
        <f t="shared" si="69"/>
        <v>2.4019999999999548</v>
      </c>
      <c r="V81" s="44">
        <f>IF(H80="AFIII",VLOOKUP(D81,Sheet1!$A$4:$H$18,5,FALSE),IF(H80="UBIII",VLOOKUP(D81,Sheet1!$A$4:$H$18,8,FALSE),IF(H80="",VLOOKUP(D81,Sheet1!$A$4:$H$18,2,FALSE),"0")))</f>
        <v>2120</v>
      </c>
      <c r="W81" s="44">
        <f t="shared" si="64"/>
        <v>0</v>
      </c>
      <c r="X81" s="48">
        <f t="shared" si="65"/>
        <v>8944</v>
      </c>
      <c r="Y81" s="3" t="str">
        <f t="shared" si="66"/>
        <v>SUCCESS</v>
      </c>
      <c r="Z81" s="3" t="str">
        <f t="shared" si="67"/>
        <v>ERROR</v>
      </c>
    </row>
    <row r="82" spans="3:26">
      <c r="C82" s="60">
        <f t="shared" si="57"/>
        <v>210.18000000000015</v>
      </c>
      <c r="D82" s="40" t="s">
        <v>128</v>
      </c>
      <c r="E82" s="56">
        <f>IF(H81="AFIII",VLOOKUP($D82,Sheet1!$A$34:$K$48,5,FALSE),IF(H81="UBIII",VLOOKUP($D82,Sheet1!$A$34:$K$48,8,FALSE),VLOOKUP($D82,Sheet1!$A$34:$K$48,2,FALSE)))</f>
        <v>3.3460000000000001</v>
      </c>
      <c r="F82" s="56">
        <f>ROUNDDOWN((IF(H81="AFIII",VLOOKUP($D82,Sheet1!$A$34:$K$48,5,FALSE),IF(H81="UBIII",VLOOKUP($D82,Sheet1!$A$34:$K$48,8,FALSE),VLOOKUP($D82,Sheet1!$A$34:$K$48,2,FALSE))))*0.85,2)</f>
        <v>2.84</v>
      </c>
      <c r="G82" s="56">
        <f t="shared" si="68"/>
        <v>3.3460000000000001</v>
      </c>
      <c r="H82" s="61" t="s">
        <v>83</v>
      </c>
      <c r="I82" s="56">
        <f>I81-G82</f>
        <v>3.3079999999999998</v>
      </c>
      <c r="U82" s="71">
        <f t="shared" si="69"/>
        <v>-0.94400000000004525</v>
      </c>
      <c r="V82" s="44">
        <f>IF(H81="AFIII",VLOOKUP(D82,Sheet1!$A$4:$H$18,5,FALSE),IF(H81="UBIII",VLOOKUP(D82,Sheet1!$A$4:$H$18,8,FALSE),IF(H81="",VLOOKUP(D82,Sheet1!$A$4:$H$18,2,FALSE),"0")))</f>
        <v>2120</v>
      </c>
      <c r="W82" s="44">
        <f t="shared" si="64"/>
        <v>0</v>
      </c>
      <c r="X82" s="48">
        <f t="shared" si="65"/>
        <v>6824</v>
      </c>
      <c r="Y82" s="3" t="str">
        <f t="shared" si="66"/>
        <v>SUCCESS</v>
      </c>
      <c r="Z82" s="3" t="str">
        <f t="shared" si="67"/>
        <v>ERROR</v>
      </c>
    </row>
    <row r="83" spans="3:26">
      <c r="C83" s="60">
        <f t="shared" si="57"/>
        <v>213.52600000000015</v>
      </c>
      <c r="D83" s="40" t="s">
        <v>128</v>
      </c>
      <c r="E83" s="56">
        <f>IF(H82="AFIII",VLOOKUP($D83,Sheet1!$A$34:$K$48,5,FALSE),IF(H82="UBIII",VLOOKUP($D83,Sheet1!$A$34:$K$48,8,FALSE),VLOOKUP($D83,Sheet1!$A$34:$K$48,2,FALSE)))</f>
        <v>3.3460000000000001</v>
      </c>
      <c r="F83" s="56">
        <f>ROUNDDOWN((IF(H82="AFIII",VLOOKUP($D83,Sheet1!$A$34:$K$48,5,FALSE),IF(H82="UBIII",VLOOKUP($D83,Sheet1!$A$34:$K$48,8,FALSE),VLOOKUP($D83,Sheet1!$A$34:$K$48,2,FALSE))))*0.85,2)</f>
        <v>2.84</v>
      </c>
      <c r="G83" s="56">
        <f t="shared" si="68"/>
        <v>3.3460000000000001</v>
      </c>
      <c r="H83" s="61" t="s">
        <v>83</v>
      </c>
      <c r="I83" s="56">
        <f>I82-G83</f>
        <v>-3.8000000000000256E-2</v>
      </c>
      <c r="V83" s="44">
        <f>IF(H82="AFIII",VLOOKUP(D83,Sheet1!$A$4:$H$18,5,FALSE),IF(H82="UBIII",VLOOKUP(D83,Sheet1!$A$4:$H$18,8,FALSE),IF(H82="",VLOOKUP(D83,Sheet1!$A$4:$H$18,2,FALSE),"0")))</f>
        <v>2120</v>
      </c>
      <c r="W83" s="44">
        <f t="shared" si="64"/>
        <v>0</v>
      </c>
      <c r="X83" s="48">
        <f t="shared" si="65"/>
        <v>4704</v>
      </c>
      <c r="Y83" s="3" t="str">
        <f t="shared" si="66"/>
        <v>SUCCESS</v>
      </c>
      <c r="Z83" s="3" t="str">
        <f t="shared" si="67"/>
        <v>ERROR</v>
      </c>
    </row>
    <row r="84" spans="3:26">
      <c r="C84" s="60">
        <f t="shared" si="57"/>
        <v>215.91600000000014</v>
      </c>
      <c r="D84" s="40" t="s">
        <v>12</v>
      </c>
      <c r="E84" s="56">
        <f>IF(H83="AFIII",VLOOKUP($D84,Sheet1!$A$34:$K$48,5,FALSE),IF(H83="UBIII",VLOOKUP($D84,Sheet1!$A$34:$K$48,8,FALSE),VLOOKUP($D84,Sheet1!$A$34:$K$48,2,FALSE)))</f>
        <v>1.67</v>
      </c>
      <c r="F84" s="56">
        <f>ROUNDDOWN((IF(H83="AFIII",VLOOKUP($D84,Sheet1!$A$34:$K$48,5,FALSE),IF(H83="UBIII",VLOOKUP($D84,Sheet1!$A$34:$K$48,8,FALSE),VLOOKUP($D84,Sheet1!$A$34:$K$48,2,FALSE))))*0.85,2)</f>
        <v>1.41</v>
      </c>
      <c r="G84" s="56">
        <f t="shared" si="68"/>
        <v>2.39</v>
      </c>
      <c r="H84" s="61" t="s">
        <v>121</v>
      </c>
      <c r="I84" s="56">
        <v>10</v>
      </c>
      <c r="V84" s="44">
        <f>IF(H83="AFIII",VLOOKUP(D84,Sheet1!$A$4:$H$18,5,FALSE),IF(H83="UBIII",VLOOKUP(D84,Sheet1!$A$4:$H$18,8,FALSE),IF(H83="",VLOOKUP(D84,Sheet1!$A$4:$H$18,2,FALSE),"0")))</f>
        <v>265</v>
      </c>
      <c r="W84" s="44">
        <f t="shared" si="64"/>
        <v>0</v>
      </c>
      <c r="X84" s="48">
        <f t="shared" si="65"/>
        <v>4439</v>
      </c>
      <c r="Y84" s="3" t="str">
        <f t="shared" si="66"/>
        <v>SUCCESS</v>
      </c>
      <c r="Z84" s="3" t="str">
        <f t="shared" si="67"/>
        <v>ERROR</v>
      </c>
    </row>
    <row r="85" spans="3:26">
      <c r="C85" s="60">
        <f t="shared" si="57"/>
        <v>219.25600000000014</v>
      </c>
      <c r="D85" s="40" t="s">
        <v>21</v>
      </c>
      <c r="E85" s="56">
        <f>IF(H84="AFIII",VLOOKUP($D85,Sheet1!$A$34:$K$48,5,FALSE),IF(H84="UBIII",VLOOKUP($D85,Sheet1!$A$34:$K$48,8,FALSE),VLOOKUP($D85,Sheet1!$A$34:$K$48,2,FALSE)))</f>
        <v>3.34</v>
      </c>
      <c r="F85" s="56">
        <f>ROUNDDOWN((IF(H84="AFIII",VLOOKUP($D85,Sheet1!$A$34:$K$48,5,FALSE),IF(H84="UBIII",VLOOKUP($D85,Sheet1!$A$34:$K$48,8,FALSE),VLOOKUP($D85,Sheet1!$A$34:$K$48,2,FALSE))))*0.85,2)</f>
        <v>2.83</v>
      </c>
      <c r="G85" s="56">
        <f t="shared" si="68"/>
        <v>3.34</v>
      </c>
      <c r="H85" s="61" t="s">
        <v>121</v>
      </c>
      <c r="I85" s="56">
        <f>I84-G85</f>
        <v>6.66</v>
      </c>
      <c r="P85" s="61" t="s">
        <v>16</v>
      </c>
      <c r="Q85" s="56">
        <v>24</v>
      </c>
      <c r="V85" s="44">
        <f>IF(H84="AFIII",VLOOKUP(D85,Sheet1!$A$4:$H$18,5,FALSE),IF(H84="UBIII",VLOOKUP(D85,Sheet1!$A$4:$H$18,8,FALSE),IF(H84="",VLOOKUP(D85,Sheet1!$A$4:$H$18,2,FALSE),"0")))</f>
        <v>1414</v>
      </c>
      <c r="W85" s="44">
        <f t="shared" si="64"/>
        <v>7033</v>
      </c>
      <c r="X85" s="48">
        <f t="shared" si="65"/>
        <v>10058</v>
      </c>
      <c r="Y85" s="3" t="str">
        <f t="shared" si="66"/>
        <v>SUCCESS</v>
      </c>
      <c r="Z85" s="3" t="str">
        <f t="shared" si="67"/>
        <v>ERROR</v>
      </c>
    </row>
    <row r="86" spans="3:26">
      <c r="C86" s="60">
        <f t="shared" si="57"/>
        <v>221.64600000000013</v>
      </c>
      <c r="D86" s="40" t="s">
        <v>4</v>
      </c>
      <c r="E86" s="56">
        <f>IF(H85="AFIII",VLOOKUP($D86,Sheet1!$A$34:$K$48,5,FALSE),IF(H85="UBIII",VLOOKUP($D86,Sheet1!$A$34:$K$48,8,FALSE),VLOOKUP($D86,Sheet1!$A$34:$K$48,2,FALSE)))</f>
        <v>1.67</v>
      </c>
      <c r="F86" s="56">
        <f>ROUNDDOWN((IF(H85="AFIII",VLOOKUP($D86,Sheet1!$A$34:$K$48,5,FALSE),IF(H85="UBIII",VLOOKUP($D86,Sheet1!$A$34:$K$48,8,FALSE),VLOOKUP($D86,Sheet1!$A$34:$K$48,2,FALSE))))*0.85,2)</f>
        <v>1.41</v>
      </c>
      <c r="G86" s="56">
        <f t="shared" si="68"/>
        <v>2.39</v>
      </c>
      <c r="H86" s="61" t="s">
        <v>83</v>
      </c>
      <c r="I86" s="56">
        <v>10</v>
      </c>
      <c r="J86" s="61" t="s">
        <v>104</v>
      </c>
      <c r="K86" s="56">
        <v>30</v>
      </c>
      <c r="L86" s="56">
        <v>90</v>
      </c>
      <c r="M86" s="61" t="s">
        <v>95</v>
      </c>
      <c r="N86" s="56">
        <v>20</v>
      </c>
      <c r="O86" s="56">
        <v>180</v>
      </c>
      <c r="Q86" s="56">
        <f>Q85-G86</f>
        <v>21.61</v>
      </c>
      <c r="V86" s="44">
        <f>IF(H85="AFIII",VLOOKUP(D86,Sheet1!$A$4:$H$18,5,FALSE),IF(H85="UBIII",VLOOKUP(D86,Sheet1!$A$4:$H$18,8,FALSE),IF(H85="",VLOOKUP(D86,Sheet1!$A$4:$H$18,2,FALSE),"0")))</f>
        <v>442</v>
      </c>
      <c r="W86" s="44">
        <f t="shared" si="64"/>
        <v>7033</v>
      </c>
      <c r="X86" s="48">
        <f t="shared" si="65"/>
        <v>11064</v>
      </c>
      <c r="Y86" s="3" t="str">
        <f t="shared" si="66"/>
        <v>SUCCESS</v>
      </c>
      <c r="Z86" s="3" t="str">
        <f t="shared" si="67"/>
        <v>ERROR</v>
      </c>
    </row>
    <row r="87" spans="3:26">
      <c r="C87" s="60">
        <f t="shared" si="57"/>
        <v>224.50600000000014</v>
      </c>
      <c r="D87" s="40" t="s">
        <v>66</v>
      </c>
      <c r="E87" s="56">
        <f>IF(H86="AFIII",VLOOKUP($D87,Sheet1!$A$34:$K$48,5,FALSE),IF(H86="UBIII",VLOOKUP($D87,Sheet1!$A$34:$K$48,8,FALSE),VLOOKUP($D87,Sheet1!$A$34:$K$48,2,FALSE)))</f>
        <v>2.86</v>
      </c>
      <c r="F87" s="56">
        <f>ROUNDDOWN((IF(H86="AFIII",VLOOKUP($D87,Sheet1!$A$34:$K$48,5,FALSE),IF(H86="UBIII",VLOOKUP($D87,Sheet1!$A$34:$K$48,8,FALSE),VLOOKUP($D87,Sheet1!$A$34:$K$48,2,FALSE))))*0.85,2)</f>
        <v>2.4300000000000002</v>
      </c>
      <c r="G87" s="56">
        <f t="shared" si="68"/>
        <v>2.86</v>
      </c>
      <c r="H87" s="61" t="s">
        <v>83</v>
      </c>
      <c r="I87" s="56">
        <f>I86-G87</f>
        <v>7.1400000000000006</v>
      </c>
      <c r="K87" s="56">
        <f>K86-G87</f>
        <v>27.14</v>
      </c>
      <c r="L87" s="56">
        <f>L86-G87</f>
        <v>87.14</v>
      </c>
      <c r="N87" s="56">
        <f>N86-G87</f>
        <v>17.14</v>
      </c>
      <c r="Q87" s="56">
        <f t="shared" ref="Q87:Q96" si="70">Q85-G86</f>
        <v>21.61</v>
      </c>
      <c r="S87" s="61" t="s">
        <v>51</v>
      </c>
      <c r="T87" s="56">
        <v>30</v>
      </c>
      <c r="U87" s="71">
        <v>90</v>
      </c>
      <c r="V87" s="44">
        <f>IF(H86="AFIII",VLOOKUP(D87,Sheet1!$A$4:$H$18,5,FALSE),IF(H86="UBIII",VLOOKUP(D87,Sheet1!$A$4:$H$18,8,FALSE),IF(H86="",VLOOKUP(D87,Sheet1!$A$4:$H$18,2,FALSE),"0")))</f>
        <v>1768</v>
      </c>
      <c r="W87" s="44">
        <f t="shared" si="64"/>
        <v>0</v>
      </c>
      <c r="X87" s="48">
        <f t="shared" si="65"/>
        <v>9296</v>
      </c>
      <c r="Y87" s="3" t="str">
        <f t="shared" si="66"/>
        <v>SUCCESS</v>
      </c>
      <c r="Z87" s="3" t="str">
        <f t="shared" si="67"/>
        <v>SUCCESS</v>
      </c>
    </row>
    <row r="88" spans="3:26">
      <c r="C88" s="60">
        <f t="shared" si="57"/>
        <v>226.93600000000015</v>
      </c>
      <c r="D88" s="40" t="s">
        <v>6</v>
      </c>
      <c r="E88" s="56">
        <f>IF(H87="AFIII",VLOOKUP($D88,Sheet1!$A$34:$K$48,5,FALSE),IF(H87="UBIII",VLOOKUP($D88,Sheet1!$A$34:$K$48,8,FALSE),VLOOKUP($D88,Sheet1!$A$34:$K$48,2,FALSE)))</f>
        <v>2.86</v>
      </c>
      <c r="F88" s="56">
        <f>ROUNDDOWN((IF(H87="AFIII",VLOOKUP($D88,Sheet1!$A$34:$K$48,5,FALSE),IF(H87="UBIII",VLOOKUP($D88,Sheet1!$A$34:$K$48,8,FALSE),VLOOKUP($D88,Sheet1!$A$34:$K$48,2,FALSE))))*0.85,2)</f>
        <v>2.4300000000000002</v>
      </c>
      <c r="G88" s="56">
        <f t="shared" si="68"/>
        <v>2.4300000000000002</v>
      </c>
      <c r="H88" s="61" t="s">
        <v>83</v>
      </c>
      <c r="I88" s="56">
        <f>I87-G88</f>
        <v>4.7100000000000009</v>
      </c>
      <c r="K88" s="56">
        <f>K86-G87</f>
        <v>27.14</v>
      </c>
      <c r="L88" s="56">
        <f>L86-G87</f>
        <v>87.14</v>
      </c>
      <c r="N88" s="56">
        <f>N87-G88</f>
        <v>14.71</v>
      </c>
      <c r="Q88" s="56">
        <f t="shared" si="70"/>
        <v>18.75</v>
      </c>
      <c r="S88" s="61" t="s">
        <v>51</v>
      </c>
      <c r="T88" s="56">
        <f>T87-G88</f>
        <v>27.57</v>
      </c>
      <c r="U88" s="71">
        <f>U87-G88</f>
        <v>87.57</v>
      </c>
      <c r="V88" s="44">
        <f>IF(H87="AFIII",VLOOKUP(D88,Sheet1!$A$4:$H$18,5,FALSE),IF(H87="UBIII",VLOOKUP(D88,Sheet1!$A$4:$H$18,8,FALSE),IF(H87="",VLOOKUP(D88,Sheet1!$A$4:$H$18,2,FALSE),"0")))</f>
        <v>1768</v>
      </c>
      <c r="W88" s="44">
        <f t="shared" si="64"/>
        <v>0</v>
      </c>
      <c r="X88" s="48">
        <f t="shared" si="65"/>
        <v>7528</v>
      </c>
      <c r="Y88" s="3" t="str">
        <f t="shared" si="66"/>
        <v>SUCCESS</v>
      </c>
      <c r="Z88" s="3" t="str">
        <f t="shared" si="67"/>
        <v>SUCCESS</v>
      </c>
    </row>
    <row r="89" spans="3:26">
      <c r="C89" s="60">
        <f t="shared" si="57"/>
        <v>229.77600000000015</v>
      </c>
      <c r="D89" s="40" t="s">
        <v>128</v>
      </c>
      <c r="E89" s="56">
        <f>IF(H88="AFIII",VLOOKUP($D89,Sheet1!$A$34:$K$48,5,FALSE),IF(H88="UBIII",VLOOKUP($D89,Sheet1!$A$34:$K$48,8,FALSE),VLOOKUP($D89,Sheet1!$A$34:$K$48,2,FALSE)))</f>
        <v>3.3460000000000001</v>
      </c>
      <c r="F89" s="56">
        <f>ROUNDDOWN((IF(H88="AFIII",VLOOKUP($D89,Sheet1!$A$34:$K$48,5,FALSE),IF(H88="UBIII",VLOOKUP($D89,Sheet1!$A$34:$K$48,8,FALSE),VLOOKUP($D89,Sheet1!$A$34:$K$48,2,FALSE))))*0.85,2)</f>
        <v>2.84</v>
      </c>
      <c r="G89" s="56">
        <f t="shared" si="68"/>
        <v>2.84</v>
      </c>
      <c r="H89" s="61" t="s">
        <v>83</v>
      </c>
      <c r="I89" s="56">
        <v>10</v>
      </c>
      <c r="K89" s="56">
        <f>K87-G88</f>
        <v>24.71</v>
      </c>
      <c r="L89" s="56">
        <f>L87-G88</f>
        <v>84.71</v>
      </c>
      <c r="N89" s="56">
        <f>N87-G88</f>
        <v>14.71</v>
      </c>
      <c r="Q89" s="56">
        <f t="shared" si="70"/>
        <v>19.18</v>
      </c>
      <c r="S89" s="61" t="s">
        <v>51</v>
      </c>
      <c r="T89" s="56">
        <f t="shared" ref="T89:T97" si="71">T87-G88</f>
        <v>27.57</v>
      </c>
      <c r="U89" s="71">
        <f t="shared" ref="U89:U97" si="72">U87-G88</f>
        <v>87.57</v>
      </c>
      <c r="V89" s="44">
        <f>IF(H88="AFIII",VLOOKUP(D89,Sheet1!$A$4:$H$18,5,FALSE),IF(H88="UBIII",VLOOKUP(D89,Sheet1!$A$4:$H$18,8,FALSE),IF(H88="",VLOOKUP(D89,Sheet1!$A$4:$H$18,2,FALSE),"0")))</f>
        <v>2120</v>
      </c>
      <c r="W89" s="44">
        <f t="shared" si="64"/>
        <v>0</v>
      </c>
      <c r="X89" s="48">
        <f t="shared" si="65"/>
        <v>5408</v>
      </c>
      <c r="Y89" s="3" t="str">
        <f t="shared" si="66"/>
        <v>SUCCESS</v>
      </c>
      <c r="Z89" s="3" t="str">
        <f t="shared" si="67"/>
        <v>SUCCESS</v>
      </c>
    </row>
    <row r="90" spans="3:26">
      <c r="C90" s="60">
        <f t="shared" si="57"/>
        <v>232.20600000000016</v>
      </c>
      <c r="D90" s="40" t="s">
        <v>66</v>
      </c>
      <c r="E90" s="56">
        <f>IF(H89="AFIII",VLOOKUP($D90,Sheet1!$A$34:$K$48,5,FALSE),IF(H89="UBIII",VLOOKUP($D90,Sheet1!$A$34:$K$48,8,FALSE),VLOOKUP($D90,Sheet1!$A$34:$K$48,2,FALSE)))</f>
        <v>2.86</v>
      </c>
      <c r="F90" s="56">
        <f>ROUNDDOWN((IF(H89="AFIII",VLOOKUP($D90,Sheet1!$A$34:$K$48,5,FALSE),IF(H89="UBIII",VLOOKUP($D90,Sheet1!$A$34:$K$48,8,FALSE),VLOOKUP($D90,Sheet1!$A$34:$K$48,2,FALSE))))*0.85,2)</f>
        <v>2.4300000000000002</v>
      </c>
      <c r="G90" s="56">
        <f t="shared" si="68"/>
        <v>2.4300000000000002</v>
      </c>
      <c r="H90" s="61" t="s">
        <v>83</v>
      </c>
      <c r="I90" s="56">
        <f>I89-G90</f>
        <v>7.57</v>
      </c>
      <c r="K90" s="56">
        <f>K89-G90</f>
        <v>22.28</v>
      </c>
      <c r="L90" s="56">
        <f>L89-G90</f>
        <v>82.279999999999987</v>
      </c>
      <c r="N90" s="56">
        <f>N89-G90</f>
        <v>12.280000000000001</v>
      </c>
      <c r="Q90" s="56">
        <f t="shared" si="70"/>
        <v>15.91</v>
      </c>
      <c r="S90" s="61" t="s">
        <v>51</v>
      </c>
      <c r="T90" s="56">
        <f t="shared" si="71"/>
        <v>24.73</v>
      </c>
      <c r="U90" s="71">
        <f t="shared" si="72"/>
        <v>84.72999999999999</v>
      </c>
      <c r="V90" s="44">
        <f>IF(H89="AFIII",VLOOKUP(D90,Sheet1!$A$4:$H$18,5,FALSE),IF(H89="UBIII",VLOOKUP(D90,Sheet1!$A$4:$H$18,8,FALSE),IF(H89="",VLOOKUP(D90,Sheet1!$A$4:$H$18,2,FALSE),"0")))</f>
        <v>1768</v>
      </c>
      <c r="W90" s="44">
        <f t="shared" si="64"/>
        <v>0</v>
      </c>
      <c r="X90" s="48">
        <f t="shared" si="65"/>
        <v>3640</v>
      </c>
      <c r="Y90" s="3" t="str">
        <f t="shared" si="66"/>
        <v>SUCCESS</v>
      </c>
      <c r="Z90" s="3" t="str">
        <f t="shared" si="67"/>
        <v>SUCCESS</v>
      </c>
    </row>
    <row r="91" spans="3:26">
      <c r="C91" s="60">
        <f t="shared" si="57"/>
        <v>234.63600000000017</v>
      </c>
      <c r="D91" s="40" t="s">
        <v>6</v>
      </c>
      <c r="E91" s="56">
        <f>IF(H90="AFIII",VLOOKUP($D91,Sheet1!$A$34:$K$48,5,FALSE),IF(H90="UBIII",VLOOKUP($D91,Sheet1!$A$34:$K$48,8,FALSE),VLOOKUP($D91,Sheet1!$A$34:$K$48,2,FALSE)))</f>
        <v>2.86</v>
      </c>
      <c r="F91" s="56">
        <f>ROUNDDOWN((IF(H90="AFIII",VLOOKUP($D91,Sheet1!$A$34:$K$48,5,FALSE),IF(H90="UBIII",VLOOKUP($D91,Sheet1!$A$34:$K$48,8,FALSE),VLOOKUP($D91,Sheet1!$A$34:$K$48,2,FALSE))))*0.85,2)</f>
        <v>2.4300000000000002</v>
      </c>
      <c r="G91" s="56">
        <f t="shared" si="68"/>
        <v>2.4300000000000002</v>
      </c>
      <c r="H91" s="61" t="s">
        <v>83</v>
      </c>
      <c r="I91" s="56">
        <f>I90-G91</f>
        <v>5.1400000000000006</v>
      </c>
      <c r="K91" s="56">
        <f t="shared" ref="K91:K96" si="73">K89-G90</f>
        <v>22.28</v>
      </c>
      <c r="L91" s="56">
        <f t="shared" ref="L91:L97" si="74">L89-G90</f>
        <v>82.279999999999987</v>
      </c>
      <c r="M91" s="61" t="s">
        <v>101</v>
      </c>
      <c r="N91" s="56">
        <v>10</v>
      </c>
      <c r="O91" s="56">
        <v>60</v>
      </c>
      <c r="Q91" s="56">
        <f t="shared" si="70"/>
        <v>16.75</v>
      </c>
      <c r="S91" s="61" t="s">
        <v>51</v>
      </c>
      <c r="T91" s="56">
        <f t="shared" si="71"/>
        <v>25.14</v>
      </c>
      <c r="U91" s="71">
        <f t="shared" si="72"/>
        <v>85.139999999999986</v>
      </c>
      <c r="V91" s="44">
        <f>IF(H90="AFIII",VLOOKUP(D91,Sheet1!$A$4:$H$18,5,FALSE),IF(H90="UBIII",VLOOKUP(D91,Sheet1!$A$4:$H$18,8,FALSE),IF(H90="",VLOOKUP(D91,Sheet1!$A$4:$H$18,2,FALSE),"0")))</f>
        <v>1768</v>
      </c>
      <c r="W91" s="44">
        <f t="shared" si="64"/>
        <v>0</v>
      </c>
      <c r="X91" s="48">
        <f t="shared" si="65"/>
        <v>1872</v>
      </c>
      <c r="Y91" s="3" t="str">
        <f t="shared" si="66"/>
        <v>SUCCESS</v>
      </c>
      <c r="Z91" s="3" t="str">
        <f t="shared" si="67"/>
        <v>SUCCESS</v>
      </c>
    </row>
    <row r="92" spans="3:26">
      <c r="C92" s="60">
        <f t="shared" si="57"/>
        <v>236.66600000000017</v>
      </c>
      <c r="D92" s="40" t="s">
        <v>10</v>
      </c>
      <c r="E92" s="56">
        <f>IF(H91="AFIII",VLOOKUP($D92,Sheet1!$A$34:$K$48,5,FALSE),IF(H91="UBIII",VLOOKUP($D92,Sheet1!$A$34:$K$48,8,FALSE),VLOOKUP($D92,Sheet1!$A$34:$K$48,2,FALSE)))</f>
        <v>3.82</v>
      </c>
      <c r="F92" s="56">
        <f>ROUNDDOWN((IF(H91="AFIII",VLOOKUP($D92,Sheet1!$A$34:$K$48,5,FALSE),IF(H91="UBIII",VLOOKUP($D92,Sheet1!$A$34:$K$48,8,FALSE),VLOOKUP($D92,Sheet1!$A$34:$K$48,2,FALSE))))*0.85,2)</f>
        <v>3.24</v>
      </c>
      <c r="G92" s="56">
        <f t="shared" si="68"/>
        <v>2.0299999999999998</v>
      </c>
      <c r="H92" s="61" t="s">
        <v>83</v>
      </c>
      <c r="I92" s="56">
        <v>10</v>
      </c>
      <c r="K92" s="56">
        <f t="shared" si="73"/>
        <v>19.850000000000001</v>
      </c>
      <c r="L92" s="56">
        <f t="shared" si="74"/>
        <v>79.84999999999998</v>
      </c>
      <c r="M92" s="61" t="s">
        <v>99</v>
      </c>
      <c r="N92" s="56">
        <v>0</v>
      </c>
      <c r="O92" s="56">
        <v>180</v>
      </c>
      <c r="P92" s="61" t="s">
        <v>130</v>
      </c>
      <c r="Q92" s="56">
        <f t="shared" si="70"/>
        <v>13.48</v>
      </c>
      <c r="R92" s="56">
        <v>60</v>
      </c>
      <c r="S92" s="61" t="s">
        <v>51</v>
      </c>
      <c r="T92" s="56">
        <f t="shared" si="71"/>
        <v>22.3</v>
      </c>
      <c r="U92" s="71">
        <f t="shared" si="72"/>
        <v>82.299999999999983</v>
      </c>
      <c r="V92" s="44">
        <f>IF(H91="AFIII",VLOOKUP(D92,Sheet1!$A$4:$H$18,5,FALSE),IF(H91="UBIII",VLOOKUP(D92,Sheet1!$A$4:$H$18,8,FALSE),IF(H91="",VLOOKUP(D92,Sheet1!$A$4:$H$18,2,FALSE),"0")))</f>
        <v>884</v>
      </c>
      <c r="W92" s="44">
        <f t="shared" si="64"/>
        <v>0</v>
      </c>
      <c r="X92" s="48">
        <f t="shared" si="65"/>
        <v>3451</v>
      </c>
      <c r="Y92" s="3" t="str">
        <f t="shared" si="66"/>
        <v>SUCCESS</v>
      </c>
      <c r="Z92" s="3" t="str">
        <f t="shared" si="67"/>
        <v>SUCCESS</v>
      </c>
    </row>
    <row r="93" spans="3:26">
      <c r="C93" s="60">
        <f t="shared" si="57"/>
        <v>238.69600000000017</v>
      </c>
      <c r="D93" s="40" t="s">
        <v>1</v>
      </c>
      <c r="E93" s="56">
        <f>IF(H92="AFIII",VLOOKUP($D93,Sheet1!$A$34:$K$48,5,FALSE),IF(H92="UBIII",VLOOKUP($D93,Sheet1!$A$34:$K$48,8,FALSE),VLOOKUP($D93,Sheet1!$A$34:$K$48,2,FALSE)))</f>
        <v>2.39</v>
      </c>
      <c r="F93" s="56">
        <f>ROUNDDOWN((IF(H92="AFIII",VLOOKUP($D93,Sheet1!$A$34:$K$48,5,FALSE),IF(H92="UBIII",VLOOKUP($D93,Sheet1!$A$34:$K$48,8,FALSE),VLOOKUP($D93,Sheet1!$A$34:$K$48,2,FALSE))))*0.85,2)</f>
        <v>2.0299999999999998</v>
      </c>
      <c r="G93" s="56">
        <f t="shared" si="68"/>
        <v>2.0299999999999998</v>
      </c>
      <c r="H93" s="61" t="s">
        <v>83</v>
      </c>
      <c r="I93" s="56">
        <v>10</v>
      </c>
      <c r="K93" s="56">
        <f t="shared" si="73"/>
        <v>20.25</v>
      </c>
      <c r="L93" s="56">
        <f t="shared" si="74"/>
        <v>80.249999999999986</v>
      </c>
      <c r="N93" s="56">
        <f>N90-G91-G92-G93</f>
        <v>5.7900000000000027</v>
      </c>
      <c r="Q93" s="56">
        <f t="shared" si="70"/>
        <v>14.72</v>
      </c>
      <c r="R93" s="56">
        <f>R92-G93</f>
        <v>57.97</v>
      </c>
      <c r="S93" s="61" t="s">
        <v>51</v>
      </c>
      <c r="T93" s="56">
        <f t="shared" si="71"/>
        <v>23.11</v>
      </c>
      <c r="U93" s="71">
        <f t="shared" si="72"/>
        <v>83.109999999999985</v>
      </c>
      <c r="V93" s="44">
        <f>IF(H92="AFIII",VLOOKUP(D93,Sheet1!$A$4:$H$18,5,FALSE),IF(H92="UBIII",VLOOKUP(D93,Sheet1!$A$4:$H$18,8,FALSE),IF(H92="",VLOOKUP(D93,Sheet1!$A$4:$H$18,2,FALSE),"0")))</f>
        <v>2120</v>
      </c>
      <c r="W93" s="44">
        <f t="shared" si="64"/>
        <v>0</v>
      </c>
      <c r="X93" s="48">
        <f t="shared" si="65"/>
        <v>1331</v>
      </c>
      <c r="Y93" s="3" t="str">
        <f t="shared" si="66"/>
        <v>SUCCESS</v>
      </c>
      <c r="Z93" s="3" t="str">
        <f t="shared" si="67"/>
        <v>SUCCESS</v>
      </c>
    </row>
    <row r="94" spans="3:26">
      <c r="C94" s="60">
        <f t="shared" si="57"/>
        <v>240.72600000000017</v>
      </c>
      <c r="D94" s="40" t="s">
        <v>129</v>
      </c>
      <c r="E94" s="56">
        <f>IF(H93="AFIII",VLOOKUP($D94,Sheet1!$A$34:$K$48,5,FALSE),IF(H93="UBIII",VLOOKUP($D94,Sheet1!$A$34:$K$48,8,FALSE),VLOOKUP($D94,Sheet1!$A$34:$K$48,2,FALSE)))</f>
        <v>2.39</v>
      </c>
      <c r="F94" s="56">
        <f>ROUNDDOWN((IF(H93="AFIII",VLOOKUP($D94,Sheet1!$A$34:$K$48,5,FALSE),IF(H93="UBIII",VLOOKUP($D94,Sheet1!$A$34:$K$48,8,FALSE),VLOOKUP($D94,Sheet1!$A$34:$K$48,2,FALSE))))*0.85,2)</f>
        <v>2.0299999999999998</v>
      </c>
      <c r="G94" s="56">
        <f t="shared" si="68"/>
        <v>2.0299999999999998</v>
      </c>
      <c r="H94" s="61" t="s">
        <v>83</v>
      </c>
      <c r="I94" s="56">
        <f>I93-G94</f>
        <v>7.9700000000000006</v>
      </c>
      <c r="K94" s="56">
        <f t="shared" si="73"/>
        <v>17.82</v>
      </c>
      <c r="L94" s="56">
        <f t="shared" si="74"/>
        <v>77.819999999999979</v>
      </c>
      <c r="M94" s="61" t="s">
        <v>139</v>
      </c>
      <c r="N94" s="56">
        <f>N93-G94</f>
        <v>3.7600000000000029</v>
      </c>
      <c r="Q94" s="56">
        <f t="shared" si="70"/>
        <v>11.450000000000001</v>
      </c>
      <c r="R94" s="56">
        <f>R92-G93</f>
        <v>57.97</v>
      </c>
      <c r="S94" s="61" t="s">
        <v>51</v>
      </c>
      <c r="T94" s="56">
        <f t="shared" si="71"/>
        <v>20.27</v>
      </c>
      <c r="U94" s="71">
        <f t="shared" si="72"/>
        <v>80.269999999999982</v>
      </c>
      <c r="V94" s="44">
        <f>IF(H93="AFIII",VLOOKUP(D94,Sheet1!$A$4:$H$18,5,FALSE),IF(H93="UBIII",VLOOKUP(D94,Sheet1!$A$4:$H$18,8,FALSE),IF(H93="",VLOOKUP(D94,Sheet1!$A$4:$H$18,2,FALSE),"0")))</f>
        <v>0</v>
      </c>
      <c r="W94" s="44">
        <f t="shared" si="64"/>
        <v>0</v>
      </c>
      <c r="X94" s="48">
        <f t="shared" si="65"/>
        <v>1331</v>
      </c>
      <c r="Y94" s="3" t="str">
        <f t="shared" si="66"/>
        <v>SUCCESS</v>
      </c>
      <c r="Z94" s="3" t="str">
        <f t="shared" si="67"/>
        <v>SUCCESS</v>
      </c>
    </row>
    <row r="95" spans="3:26">
      <c r="C95" s="60">
        <f t="shared" si="57"/>
        <v>242.75600000000017</v>
      </c>
      <c r="D95" s="40" t="s">
        <v>12</v>
      </c>
      <c r="E95" s="56">
        <f>IF(H94="AFIII",VLOOKUP($D95,Sheet1!$A$34:$K$48,5,FALSE),IF(H94="UBIII",VLOOKUP($D95,Sheet1!$A$34:$K$48,8,FALSE),VLOOKUP($D95,Sheet1!$A$34:$K$48,2,FALSE)))</f>
        <v>1.67</v>
      </c>
      <c r="F95" s="56">
        <f>ROUNDDOWN((IF(H94="AFIII",VLOOKUP($D95,Sheet1!$A$34:$K$48,5,FALSE),IF(H94="UBIII",VLOOKUP($D95,Sheet1!$A$34:$K$48,8,FALSE),VLOOKUP($D95,Sheet1!$A$34:$K$48,2,FALSE))))*0.85,2)</f>
        <v>1.41</v>
      </c>
      <c r="G95" s="56">
        <f t="shared" si="68"/>
        <v>2.0299999999999998</v>
      </c>
      <c r="H95" s="61" t="s">
        <v>121</v>
      </c>
      <c r="I95" s="56">
        <v>10</v>
      </c>
      <c r="K95" s="56">
        <f t="shared" si="73"/>
        <v>18.22</v>
      </c>
      <c r="L95" s="56">
        <f t="shared" si="74"/>
        <v>78.219999999999985</v>
      </c>
      <c r="N95" s="56">
        <f>N94-G95</f>
        <v>1.7300000000000031</v>
      </c>
      <c r="O95" s="56">
        <f>O91-G92-G93-G95-G94</f>
        <v>51.879999999999995</v>
      </c>
      <c r="Q95" s="56">
        <f t="shared" si="70"/>
        <v>12.690000000000001</v>
      </c>
      <c r="R95" s="56">
        <f>R93-G94</f>
        <v>55.94</v>
      </c>
      <c r="S95" s="61" t="s">
        <v>51</v>
      </c>
      <c r="T95" s="56">
        <f t="shared" si="71"/>
        <v>21.08</v>
      </c>
      <c r="U95" s="71">
        <f t="shared" si="72"/>
        <v>81.079999999999984</v>
      </c>
      <c r="V95" s="44">
        <f>IF(H94="AFIII",VLOOKUP(D95,Sheet1!$A$4:$H$18,5,FALSE),IF(H94="UBIII",VLOOKUP(D95,Sheet1!$A$4:$H$18,8,FALSE),IF(H94="",VLOOKUP(D95,Sheet1!$A$4:$H$18,2,FALSE),"0")))</f>
        <v>265</v>
      </c>
      <c r="W95" s="44">
        <f t="shared" si="64"/>
        <v>0</v>
      </c>
      <c r="X95" s="48">
        <f t="shared" si="65"/>
        <v>1066</v>
      </c>
      <c r="Y95" s="3" t="str">
        <f t="shared" si="66"/>
        <v>SUCCESS</v>
      </c>
      <c r="Z95" s="3" t="str">
        <f t="shared" si="67"/>
        <v>SUCCESS</v>
      </c>
    </row>
    <row r="96" spans="3:26">
      <c r="C96" s="60">
        <f t="shared" si="57"/>
        <v>245.18600000000018</v>
      </c>
      <c r="D96" s="40" t="s">
        <v>19</v>
      </c>
      <c r="E96" s="56">
        <f>IF(H95="AFIII",VLOOKUP($D96,Sheet1!$A$34:$K$48,5,FALSE),IF(H95="UBIII",VLOOKUP($D96,Sheet1!$A$34:$K$48,8,FALSE),VLOOKUP($D96,Sheet1!$A$34:$K$48,2,FALSE)))</f>
        <v>2.86</v>
      </c>
      <c r="F96" s="56">
        <f>ROUNDDOWN((IF(H95="AFIII",VLOOKUP($D96,Sheet1!$A$34:$K$48,5,FALSE),IF(H95="UBIII",VLOOKUP($D96,Sheet1!$A$34:$K$48,8,FALSE),VLOOKUP($D96,Sheet1!$A$34:$K$48,2,FALSE))))*0.85,2)</f>
        <v>2.4300000000000002</v>
      </c>
      <c r="G96" s="56">
        <f t="shared" si="68"/>
        <v>2.4300000000000002</v>
      </c>
      <c r="H96" s="61" t="s">
        <v>121</v>
      </c>
      <c r="I96" s="56">
        <f>I95-G96</f>
        <v>7.57</v>
      </c>
      <c r="K96" s="56">
        <f t="shared" si="73"/>
        <v>15.790000000000001</v>
      </c>
      <c r="L96" s="56">
        <f t="shared" si="74"/>
        <v>75.789999999999978</v>
      </c>
      <c r="O96" s="56">
        <f>O95-G96</f>
        <v>49.449999999999996</v>
      </c>
      <c r="Q96" s="56">
        <f t="shared" si="70"/>
        <v>9.4200000000000017</v>
      </c>
      <c r="R96" s="56">
        <f>R94-G95</f>
        <v>55.94</v>
      </c>
      <c r="S96" s="61" t="s">
        <v>51</v>
      </c>
      <c r="T96" s="56">
        <f t="shared" si="71"/>
        <v>18.239999999999998</v>
      </c>
      <c r="U96" s="71">
        <f t="shared" si="72"/>
        <v>78.239999999999981</v>
      </c>
      <c r="V96" s="44">
        <f>IF(H95="AFIII",VLOOKUP(D96,Sheet1!$A$4:$H$18,5,FALSE),IF(H95="UBIII",VLOOKUP(D96,Sheet1!$A$4:$H$18,8,FALSE),IF(H95="",VLOOKUP(D96,Sheet1!$A$4:$H$18,2,FALSE),"0")))</f>
        <v>1060</v>
      </c>
      <c r="W96" s="44">
        <f t="shared" si="64"/>
        <v>7033</v>
      </c>
      <c r="X96" s="48">
        <f t="shared" si="65"/>
        <v>7039</v>
      </c>
      <c r="Y96" s="3" t="str">
        <f t="shared" si="66"/>
        <v>SUCCESS</v>
      </c>
      <c r="Z96" s="3" t="str">
        <f t="shared" si="67"/>
        <v>SUCCESS</v>
      </c>
    </row>
    <row r="97" spans="3:26">
      <c r="C97" s="60">
        <f t="shared" si="57"/>
        <v>247.61600000000018</v>
      </c>
      <c r="D97" s="40" t="s">
        <v>14</v>
      </c>
      <c r="E97" s="56">
        <f>IF(H96="AFIII",VLOOKUP($D97,Sheet1!$A$34:$K$48,5,FALSE),IF(H96="UBIII",VLOOKUP($D97,Sheet1!$A$34:$K$48,8,FALSE),VLOOKUP($D97,Sheet1!$A$34:$K$48,2,FALSE)))</f>
        <v>2.86</v>
      </c>
      <c r="F97" s="56">
        <f>ROUNDDOWN((IF(H96="AFIII",VLOOKUP($D97,Sheet1!$A$34:$K$48,5,FALSE),IF(H96="UBIII",VLOOKUP($D97,Sheet1!$A$34:$K$48,8,FALSE),VLOOKUP($D97,Sheet1!$A$34:$K$48,2,FALSE))))*0.85,2)</f>
        <v>2.4300000000000002</v>
      </c>
      <c r="G97" s="56">
        <f t="shared" si="68"/>
        <v>2.4300000000000002</v>
      </c>
      <c r="H97" s="61" t="s">
        <v>121</v>
      </c>
      <c r="I97" s="56">
        <f>I96-G97</f>
        <v>5.1400000000000006</v>
      </c>
      <c r="K97" s="56">
        <v>25</v>
      </c>
      <c r="L97" s="56">
        <f t="shared" si="74"/>
        <v>75.789999999999978</v>
      </c>
      <c r="O97" s="56">
        <f>O95-G96</f>
        <v>49.449999999999996</v>
      </c>
      <c r="P97" s="61" t="s">
        <v>16</v>
      </c>
      <c r="Q97" s="56">
        <v>21</v>
      </c>
      <c r="R97" s="56">
        <f>R95-G96</f>
        <v>53.51</v>
      </c>
      <c r="S97" s="61" t="s">
        <v>51</v>
      </c>
      <c r="T97" s="56">
        <f t="shared" si="71"/>
        <v>18.649999999999999</v>
      </c>
      <c r="U97" s="71">
        <f t="shared" si="72"/>
        <v>78.649999999999977</v>
      </c>
      <c r="V97" s="44">
        <f>IF(H96="AFIII",VLOOKUP(D97,Sheet1!$A$4:$H$18,5,FALSE),IF(H96="UBIII",VLOOKUP(D97,Sheet1!$A$4:$H$18,8,FALSE),IF(H96="",VLOOKUP(D97,Sheet1!$A$4:$H$18,2,FALSE),"0")))</f>
        <v>884</v>
      </c>
      <c r="W97" s="44">
        <f t="shared" si="64"/>
        <v>7033</v>
      </c>
      <c r="X97" s="48">
        <f t="shared" si="65"/>
        <v>10622</v>
      </c>
      <c r="Y97" s="3" t="str">
        <f t="shared" si="66"/>
        <v>SUCCESS</v>
      </c>
      <c r="Z97" s="3" t="str">
        <f t="shared" si="67"/>
        <v>SUCCESS</v>
      </c>
    </row>
    <row r="99" spans="3:26">
      <c r="C99" s="60" t="e">
        <f>C97+G99</f>
        <v>#N/A</v>
      </c>
      <c r="E99" s="56" t="e">
        <f>IF(H97="AFIII",VLOOKUP($D99,Sheet1!$A$34:$K$48,5,FALSE),IF(H97="UBIII",VLOOKUP($D99,Sheet1!$A$34:$K$48,8,FALSE),VLOOKUP($D99,Sheet1!$A$34:$K$48,2,FALSE)))</f>
        <v>#N/A</v>
      </c>
      <c r="F99" s="56" t="e">
        <f>ROUNDDOWN((IF(H97="AFIII",VLOOKUP($D99,Sheet1!$A$34:$K$48,5,FALSE),IF(H97="UBIII",VLOOKUP($D99,Sheet1!$A$34:$K$48,8,FALSE),VLOOKUP($D99,Sheet1!$A$34:$K$48,2,FALSE))))*0.85,2)</f>
        <v>#N/A</v>
      </c>
      <c r="G99" s="56" t="e">
        <f>IF(M97="迅速",IF(S97="黒魔紋",$F$1,$E$1),IF(S97="黒魔紋",IF(F99&lt;$F$1,$F$1,F99),IF(E99&lt;$E$1,$E$1,E99)))</f>
        <v>#N/A</v>
      </c>
      <c r="H99" s="61" t="s">
        <v>84</v>
      </c>
      <c r="I99" s="56" t="e">
        <f>I97-G99</f>
        <v>#N/A</v>
      </c>
      <c r="K99" s="56" t="e">
        <f>K97-G99</f>
        <v>#N/A</v>
      </c>
      <c r="L99" s="56" t="e">
        <f>L97-G99</f>
        <v>#N/A</v>
      </c>
      <c r="U99" s="71" t="e">
        <f>U97-G99</f>
        <v>#N/A</v>
      </c>
      <c r="V99" s="44" t="e">
        <f>IF(H97="AFIII",VLOOKUP(D99,Sheet1!$A$4:$H$18,5,FALSE),IF(H97="UBIII",VLOOKUP(D99,Sheet1!$A$4:$H$18,8,FALSE),IF(H97="",VLOOKUP(D99,Sheet1!$A$4:$H$18,2,FALSE),"0")))</f>
        <v>#N/A</v>
      </c>
      <c r="W99" s="44">
        <f>IF(H97="UBIII",$X$2,0)</f>
        <v>7033</v>
      </c>
      <c r="X99" s="48" t="e">
        <f>IF(D99="フレア",IF(M99="コンバート",$X$1,0),IF(X97-V99+W99&gt;$X$3,$X$3-V99,X97-V99+W99))</f>
        <v>#N/A</v>
      </c>
      <c r="Y99" s="3" t="e">
        <f>IF(X97-V99&lt;0,"ERROR","SUCCESS")</f>
        <v>#N/A</v>
      </c>
      <c r="Z99" s="3" t="e">
        <f>IF(K97-G99&lt;0,"ERROR","SUCCESS")</f>
        <v>#N/A</v>
      </c>
    </row>
    <row r="100" spans="3:26">
      <c r="C100" s="60" t="e">
        <f t="shared" si="57"/>
        <v>#N/A</v>
      </c>
      <c r="E100" s="56" t="e">
        <f>IF(H99="AFIII",VLOOKUP($D100,Sheet1!$A$34:$K$48,5,FALSE),IF(H99="UBIII",VLOOKUP($D100,Sheet1!$A$34:$K$48,8,FALSE),VLOOKUP($D100,Sheet1!$A$34:$K$48,2,FALSE)))</f>
        <v>#N/A</v>
      </c>
      <c r="F100" s="56" t="e">
        <f>ROUNDDOWN((IF(H99="AFIII",VLOOKUP($D100,Sheet1!$A$34:$K$48,5,FALSE),IF(H99="UBIII",VLOOKUP($D100,Sheet1!$A$34:$K$48,8,FALSE),VLOOKUP($D100,Sheet1!$A$34:$K$48,2,FALSE))))*0.85,2)</f>
        <v>#N/A</v>
      </c>
      <c r="G100" s="56" t="e">
        <f t="shared" ref="G100:G112" si="75">IF(M99="迅速",IF(S99="黒魔紋",$F$1,$E$1),IF(S99="黒魔紋",IF(F100&lt;$F$1,$F$1,F100),IF(E100&lt;$E$1,$E$1,E100)))</f>
        <v>#N/A</v>
      </c>
      <c r="H100" s="61" t="s">
        <v>84</v>
      </c>
      <c r="I100" s="56" t="e">
        <f t="shared" si="58"/>
        <v>#N/A</v>
      </c>
      <c r="K100" s="56" t="e">
        <f t="shared" si="59"/>
        <v>#N/A</v>
      </c>
      <c r="L100" s="56" t="e">
        <f t="shared" si="60"/>
        <v>#N/A</v>
      </c>
      <c r="U100" s="71" t="e">
        <f t="shared" si="61"/>
        <v>#N/A</v>
      </c>
      <c r="V100" s="44" t="e">
        <f>IF(H99="AFIII",VLOOKUP(D100,Sheet1!$A$4:$H$18,5,FALSE),IF(H99="UBIII",VLOOKUP(D100,Sheet1!$A$4:$H$18,8,FALSE),IF(H99="",VLOOKUP(D100,Sheet1!$A$4:$H$18,2,FALSE),"0")))</f>
        <v>#N/A</v>
      </c>
      <c r="W100" s="44">
        <f t="shared" ref="W100:W112" si="76">IF(H99="UBIII",$X$2,0)</f>
        <v>0</v>
      </c>
      <c r="X100" s="48" t="e">
        <f t="shared" ref="X100:X112" si="77">IF(D100="フレア",IF(M100="コンバート",$X$1,0),IF(X99-V100+W100&gt;$X$3,$X$3-V100,X99-V100+W100))</f>
        <v>#N/A</v>
      </c>
      <c r="Y100" s="3" t="e">
        <f t="shared" si="62"/>
        <v>#N/A</v>
      </c>
      <c r="Z100" s="3" t="e">
        <f t="shared" si="63"/>
        <v>#N/A</v>
      </c>
    </row>
    <row r="101" spans="3:26">
      <c r="C101" s="60" t="e">
        <f t="shared" si="57"/>
        <v>#N/A</v>
      </c>
      <c r="E101" s="56" t="e">
        <f>IF(H100="AFIII",VLOOKUP($D101,Sheet1!$A$34:$K$48,5,FALSE),IF(H100="UBIII",VLOOKUP($D101,Sheet1!$A$34:$K$48,8,FALSE),VLOOKUP($D101,Sheet1!$A$34:$K$48,2,FALSE)))</f>
        <v>#N/A</v>
      </c>
      <c r="F101" s="56" t="e">
        <f>ROUNDDOWN((IF(H100="AFIII",VLOOKUP($D101,Sheet1!$A$34:$K$48,5,FALSE),IF(H100="UBIII",VLOOKUP($D101,Sheet1!$A$34:$K$48,8,FALSE),VLOOKUP($D101,Sheet1!$A$34:$K$48,2,FALSE))))*0.85,2)</f>
        <v>#N/A</v>
      </c>
      <c r="G101" s="56" t="e">
        <f t="shared" si="75"/>
        <v>#N/A</v>
      </c>
      <c r="H101" s="61" t="s">
        <v>84</v>
      </c>
      <c r="I101" s="56" t="e">
        <f t="shared" si="58"/>
        <v>#N/A</v>
      </c>
      <c r="K101" s="56" t="e">
        <f t="shared" si="59"/>
        <v>#N/A</v>
      </c>
      <c r="L101" s="56" t="e">
        <f t="shared" si="60"/>
        <v>#N/A</v>
      </c>
      <c r="U101" s="71" t="e">
        <f t="shared" si="61"/>
        <v>#N/A</v>
      </c>
      <c r="V101" s="44" t="e">
        <f>IF(H100="AFIII",VLOOKUP(D101,Sheet1!$A$4:$H$18,5,FALSE),IF(H100="UBIII",VLOOKUP(D101,Sheet1!$A$4:$H$18,8,FALSE),IF(H100="",VLOOKUP(D101,Sheet1!$A$4:$H$18,2,FALSE),"0")))</f>
        <v>#N/A</v>
      </c>
      <c r="W101" s="44">
        <f t="shared" si="76"/>
        <v>0</v>
      </c>
      <c r="X101" s="48" t="e">
        <f t="shared" si="77"/>
        <v>#N/A</v>
      </c>
      <c r="Y101" s="3" t="e">
        <f t="shared" si="62"/>
        <v>#N/A</v>
      </c>
      <c r="Z101" s="3" t="e">
        <f t="shared" si="63"/>
        <v>#N/A</v>
      </c>
    </row>
    <row r="102" spans="3:26">
      <c r="C102" s="60" t="e">
        <f t="shared" si="57"/>
        <v>#N/A</v>
      </c>
      <c r="E102" s="56" t="e">
        <f>IF(H101="AFIII",VLOOKUP($D102,Sheet1!$A$34:$K$48,5,FALSE),IF(H101="UBIII",VLOOKUP($D102,Sheet1!$A$34:$K$48,8,FALSE),VLOOKUP($D102,Sheet1!$A$34:$K$48,2,FALSE)))</f>
        <v>#N/A</v>
      </c>
      <c r="F102" s="56" t="e">
        <f>ROUNDDOWN((IF(H101="AFIII",VLOOKUP($D102,Sheet1!$A$34:$K$48,5,FALSE),IF(H101="UBIII",VLOOKUP($D102,Sheet1!$A$34:$K$48,8,FALSE),VLOOKUP($D102,Sheet1!$A$34:$K$48,2,FALSE))))*0.85,2)</f>
        <v>#N/A</v>
      </c>
      <c r="G102" s="56" t="e">
        <f t="shared" si="75"/>
        <v>#N/A</v>
      </c>
      <c r="H102" s="61" t="s">
        <v>84</v>
      </c>
      <c r="I102" s="56" t="e">
        <f t="shared" si="58"/>
        <v>#N/A</v>
      </c>
      <c r="K102" s="56" t="e">
        <f t="shared" si="59"/>
        <v>#N/A</v>
      </c>
      <c r="L102" s="56" t="e">
        <f t="shared" si="60"/>
        <v>#N/A</v>
      </c>
      <c r="U102" s="71" t="e">
        <f t="shared" si="61"/>
        <v>#N/A</v>
      </c>
      <c r="V102" s="44" t="e">
        <f>IF(H101="AFIII",VLOOKUP(D102,Sheet1!$A$4:$H$18,5,FALSE),IF(H101="UBIII",VLOOKUP(D102,Sheet1!$A$4:$H$18,8,FALSE),IF(H101="",VLOOKUP(D102,Sheet1!$A$4:$H$18,2,FALSE),"0")))</f>
        <v>#N/A</v>
      </c>
      <c r="W102" s="44">
        <f t="shared" si="76"/>
        <v>0</v>
      </c>
      <c r="X102" s="48" t="e">
        <f t="shared" si="77"/>
        <v>#N/A</v>
      </c>
      <c r="Y102" s="3" t="e">
        <f t="shared" si="62"/>
        <v>#N/A</v>
      </c>
      <c r="Z102" s="3" t="e">
        <f t="shared" si="63"/>
        <v>#N/A</v>
      </c>
    </row>
    <row r="103" spans="3:26">
      <c r="C103" s="60" t="e">
        <f t="shared" si="57"/>
        <v>#N/A</v>
      </c>
      <c r="E103" s="56" t="e">
        <f>IF(H102="AFIII",VLOOKUP($D103,Sheet1!$A$34:$K$48,5,FALSE),IF(H102="UBIII",VLOOKUP($D103,Sheet1!$A$34:$K$48,8,FALSE),VLOOKUP($D103,Sheet1!$A$34:$K$48,2,FALSE)))</f>
        <v>#N/A</v>
      </c>
      <c r="F103" s="56" t="e">
        <f>ROUNDDOWN((IF(H102="AFIII",VLOOKUP($D103,Sheet1!$A$34:$K$48,5,FALSE),IF(H102="UBIII",VLOOKUP($D103,Sheet1!$A$34:$K$48,8,FALSE),VLOOKUP($D103,Sheet1!$A$34:$K$48,2,FALSE))))*0.85,2)</f>
        <v>#N/A</v>
      </c>
      <c r="G103" s="56" t="e">
        <f t="shared" si="75"/>
        <v>#N/A</v>
      </c>
      <c r="H103" s="61" t="s">
        <v>84</v>
      </c>
      <c r="I103" s="56" t="e">
        <f t="shared" si="58"/>
        <v>#N/A</v>
      </c>
      <c r="K103" s="56" t="e">
        <f t="shared" si="59"/>
        <v>#N/A</v>
      </c>
      <c r="L103" s="56" t="e">
        <f t="shared" si="60"/>
        <v>#N/A</v>
      </c>
      <c r="U103" s="71" t="e">
        <f t="shared" si="61"/>
        <v>#N/A</v>
      </c>
      <c r="V103" s="44" t="e">
        <f>IF(H102="AFIII",VLOOKUP(D103,Sheet1!$A$4:$H$18,5,FALSE),IF(H102="UBIII",VLOOKUP(D103,Sheet1!$A$4:$H$18,8,FALSE),IF(H102="",VLOOKUP(D103,Sheet1!$A$4:$H$18,2,FALSE),"0")))</f>
        <v>#N/A</v>
      </c>
      <c r="W103" s="44">
        <f t="shared" si="76"/>
        <v>0</v>
      </c>
      <c r="X103" s="48" t="e">
        <f t="shared" si="77"/>
        <v>#N/A</v>
      </c>
      <c r="Y103" s="3" t="e">
        <f t="shared" si="62"/>
        <v>#N/A</v>
      </c>
      <c r="Z103" s="3" t="e">
        <f t="shared" si="63"/>
        <v>#N/A</v>
      </c>
    </row>
    <row r="104" spans="3:26">
      <c r="C104" s="60" t="e">
        <f t="shared" si="57"/>
        <v>#N/A</v>
      </c>
      <c r="E104" s="56" t="e">
        <f>IF(H103="AFIII",VLOOKUP($D104,Sheet1!$A$34:$K$48,5,FALSE),IF(H103="UBIII",VLOOKUP($D104,Sheet1!$A$34:$K$48,8,FALSE),VLOOKUP($D104,Sheet1!$A$34:$K$48,2,FALSE)))</f>
        <v>#N/A</v>
      </c>
      <c r="F104" s="56" t="e">
        <f>ROUNDDOWN((IF(H103="AFIII",VLOOKUP($D104,Sheet1!$A$34:$K$48,5,FALSE),IF(H103="UBIII",VLOOKUP($D104,Sheet1!$A$34:$K$48,8,FALSE),VLOOKUP($D104,Sheet1!$A$34:$K$48,2,FALSE))))*0.85,2)</f>
        <v>#N/A</v>
      </c>
      <c r="G104" s="56" t="e">
        <f t="shared" si="75"/>
        <v>#N/A</v>
      </c>
      <c r="H104" s="61" t="s">
        <v>84</v>
      </c>
      <c r="I104" s="56" t="e">
        <f t="shared" si="58"/>
        <v>#N/A</v>
      </c>
      <c r="K104" s="56" t="e">
        <f t="shared" si="59"/>
        <v>#N/A</v>
      </c>
      <c r="L104" s="56" t="e">
        <f t="shared" si="60"/>
        <v>#N/A</v>
      </c>
      <c r="U104" s="71" t="e">
        <f t="shared" si="61"/>
        <v>#N/A</v>
      </c>
      <c r="V104" s="44" t="e">
        <f>IF(H103="AFIII",VLOOKUP(D104,Sheet1!$A$4:$H$18,5,FALSE),IF(H103="UBIII",VLOOKUP(D104,Sheet1!$A$4:$H$18,8,FALSE),IF(H103="",VLOOKUP(D104,Sheet1!$A$4:$H$18,2,FALSE),"0")))</f>
        <v>#N/A</v>
      </c>
      <c r="W104" s="44">
        <f t="shared" si="76"/>
        <v>0</v>
      </c>
      <c r="X104" s="48" t="e">
        <f t="shared" si="77"/>
        <v>#N/A</v>
      </c>
      <c r="Y104" s="3" t="e">
        <f t="shared" si="62"/>
        <v>#N/A</v>
      </c>
      <c r="Z104" s="3" t="e">
        <f t="shared" si="63"/>
        <v>#N/A</v>
      </c>
    </row>
    <row r="105" spans="3:26">
      <c r="C105" s="60" t="e">
        <f t="shared" si="57"/>
        <v>#N/A</v>
      </c>
      <c r="E105" s="56" t="e">
        <f>IF(H104="AFIII",VLOOKUP($D105,Sheet1!$A$34:$K$48,5,FALSE),IF(H104="UBIII",VLOOKUP($D105,Sheet1!$A$34:$K$48,8,FALSE),VLOOKUP($D105,Sheet1!$A$34:$K$48,2,FALSE)))</f>
        <v>#N/A</v>
      </c>
      <c r="F105" s="56" t="e">
        <f>ROUNDDOWN((IF(H104="AFIII",VLOOKUP($D105,Sheet1!$A$34:$K$48,5,FALSE),IF(H104="UBIII",VLOOKUP($D105,Sheet1!$A$34:$K$48,8,FALSE),VLOOKUP($D105,Sheet1!$A$34:$K$48,2,FALSE))))*0.85,2)</f>
        <v>#N/A</v>
      </c>
      <c r="G105" s="56" t="e">
        <f t="shared" si="75"/>
        <v>#N/A</v>
      </c>
      <c r="H105" s="61" t="s">
        <v>84</v>
      </c>
      <c r="I105" s="56" t="e">
        <f t="shared" si="58"/>
        <v>#N/A</v>
      </c>
      <c r="K105" s="56" t="e">
        <f t="shared" si="59"/>
        <v>#N/A</v>
      </c>
      <c r="L105" s="56" t="e">
        <f t="shared" si="60"/>
        <v>#N/A</v>
      </c>
      <c r="U105" s="71" t="e">
        <f t="shared" si="61"/>
        <v>#N/A</v>
      </c>
      <c r="V105" s="44" t="e">
        <f>IF(H104="AFIII",VLOOKUP(D105,Sheet1!$A$4:$H$18,5,FALSE),IF(H104="UBIII",VLOOKUP(D105,Sheet1!$A$4:$H$18,8,FALSE),IF(H104="",VLOOKUP(D105,Sheet1!$A$4:$H$18,2,FALSE),"0")))</f>
        <v>#N/A</v>
      </c>
      <c r="W105" s="44">
        <f t="shared" si="76"/>
        <v>0</v>
      </c>
      <c r="X105" s="48" t="e">
        <f t="shared" si="77"/>
        <v>#N/A</v>
      </c>
      <c r="Y105" s="3" t="e">
        <f t="shared" si="62"/>
        <v>#N/A</v>
      </c>
      <c r="Z105" s="3" t="e">
        <f t="shared" si="63"/>
        <v>#N/A</v>
      </c>
    </row>
    <row r="106" spans="3:26">
      <c r="C106" s="60" t="e">
        <f t="shared" si="57"/>
        <v>#N/A</v>
      </c>
      <c r="E106" s="56" t="e">
        <f>IF(H105="AFIII",VLOOKUP($D106,Sheet1!$A$34:$K$48,5,FALSE),IF(H105="UBIII",VLOOKUP($D106,Sheet1!$A$34:$K$48,8,FALSE),VLOOKUP($D106,Sheet1!$A$34:$K$48,2,FALSE)))</f>
        <v>#N/A</v>
      </c>
      <c r="F106" s="56" t="e">
        <f>ROUNDDOWN((IF(H105="AFIII",VLOOKUP($D106,Sheet1!$A$34:$K$48,5,FALSE),IF(H105="UBIII",VLOOKUP($D106,Sheet1!$A$34:$K$48,8,FALSE),VLOOKUP($D106,Sheet1!$A$34:$K$48,2,FALSE))))*0.85,2)</f>
        <v>#N/A</v>
      </c>
      <c r="G106" s="56" t="e">
        <f t="shared" si="75"/>
        <v>#N/A</v>
      </c>
      <c r="H106" s="61" t="s">
        <v>84</v>
      </c>
      <c r="I106" s="56" t="e">
        <f t="shared" si="58"/>
        <v>#N/A</v>
      </c>
      <c r="K106" s="56" t="e">
        <f t="shared" si="59"/>
        <v>#N/A</v>
      </c>
      <c r="L106" s="56" t="e">
        <f t="shared" si="60"/>
        <v>#N/A</v>
      </c>
      <c r="U106" s="71" t="e">
        <f t="shared" si="61"/>
        <v>#N/A</v>
      </c>
      <c r="V106" s="44" t="e">
        <f>IF(H105="AFIII",VLOOKUP(D106,Sheet1!$A$4:$H$18,5,FALSE),IF(H105="UBIII",VLOOKUP(D106,Sheet1!$A$4:$H$18,8,FALSE),IF(H105="",VLOOKUP(D106,Sheet1!$A$4:$H$18,2,FALSE),"0")))</f>
        <v>#N/A</v>
      </c>
      <c r="W106" s="44">
        <f t="shared" si="76"/>
        <v>0</v>
      </c>
      <c r="X106" s="48" t="e">
        <f t="shared" si="77"/>
        <v>#N/A</v>
      </c>
      <c r="Y106" s="3" t="e">
        <f t="shared" si="62"/>
        <v>#N/A</v>
      </c>
      <c r="Z106" s="3" t="e">
        <f t="shared" si="63"/>
        <v>#N/A</v>
      </c>
    </row>
    <row r="107" spans="3:26">
      <c r="C107" s="60" t="e">
        <f t="shared" si="57"/>
        <v>#N/A</v>
      </c>
      <c r="E107" s="56" t="e">
        <f>IF(H106="AFIII",VLOOKUP($D107,Sheet1!$A$34:$K$48,5,FALSE),IF(H106="UBIII",VLOOKUP($D107,Sheet1!$A$34:$K$48,8,FALSE),VLOOKUP($D107,Sheet1!$A$34:$K$48,2,FALSE)))</f>
        <v>#N/A</v>
      </c>
      <c r="F107" s="56" t="e">
        <f>ROUNDDOWN((IF(H106="AFIII",VLOOKUP($D107,Sheet1!$A$34:$K$48,5,FALSE),IF(H106="UBIII",VLOOKUP($D107,Sheet1!$A$34:$K$48,8,FALSE),VLOOKUP($D107,Sheet1!$A$34:$K$48,2,FALSE))))*0.85,2)</f>
        <v>#N/A</v>
      </c>
      <c r="G107" s="56" t="e">
        <f t="shared" si="75"/>
        <v>#N/A</v>
      </c>
      <c r="H107" s="61" t="s">
        <v>84</v>
      </c>
      <c r="I107" s="56" t="e">
        <f t="shared" si="58"/>
        <v>#N/A</v>
      </c>
      <c r="K107" s="56" t="e">
        <f t="shared" si="59"/>
        <v>#N/A</v>
      </c>
      <c r="L107" s="56" t="e">
        <f t="shared" si="60"/>
        <v>#N/A</v>
      </c>
      <c r="U107" s="71" t="e">
        <f t="shared" si="61"/>
        <v>#N/A</v>
      </c>
      <c r="V107" s="44" t="e">
        <f>IF(H106="AFIII",VLOOKUP(D107,Sheet1!$A$4:$H$18,5,FALSE),IF(H106="UBIII",VLOOKUP(D107,Sheet1!$A$4:$H$18,8,FALSE),IF(H106="",VLOOKUP(D107,Sheet1!$A$4:$H$18,2,FALSE),"0")))</f>
        <v>#N/A</v>
      </c>
      <c r="W107" s="44">
        <f t="shared" si="76"/>
        <v>0</v>
      </c>
      <c r="X107" s="48" t="e">
        <f t="shared" si="77"/>
        <v>#N/A</v>
      </c>
      <c r="Y107" s="3" t="e">
        <f t="shared" si="62"/>
        <v>#N/A</v>
      </c>
      <c r="Z107" s="3" t="e">
        <f t="shared" si="63"/>
        <v>#N/A</v>
      </c>
    </row>
    <row r="108" spans="3:26">
      <c r="C108" s="60" t="e">
        <f t="shared" si="57"/>
        <v>#N/A</v>
      </c>
      <c r="E108" s="56" t="e">
        <f>IF(H107="AFIII",VLOOKUP($D108,Sheet1!$A$34:$K$48,5,FALSE),IF(H107="UBIII",VLOOKUP($D108,Sheet1!$A$34:$K$48,8,FALSE),VLOOKUP($D108,Sheet1!$A$34:$K$48,2,FALSE)))</f>
        <v>#N/A</v>
      </c>
      <c r="F108" s="56" t="e">
        <f>ROUNDDOWN((IF(H107="AFIII",VLOOKUP($D108,Sheet1!$A$34:$K$48,5,FALSE),IF(H107="UBIII",VLOOKUP($D108,Sheet1!$A$34:$K$48,8,FALSE),VLOOKUP($D108,Sheet1!$A$34:$K$48,2,FALSE))))*0.85,2)</f>
        <v>#N/A</v>
      </c>
      <c r="G108" s="56" t="e">
        <f t="shared" si="75"/>
        <v>#N/A</v>
      </c>
      <c r="H108" s="61" t="s">
        <v>84</v>
      </c>
      <c r="I108" s="56" t="e">
        <f t="shared" si="58"/>
        <v>#N/A</v>
      </c>
      <c r="K108" s="56" t="e">
        <f t="shared" si="59"/>
        <v>#N/A</v>
      </c>
      <c r="L108" s="56" t="e">
        <f t="shared" si="60"/>
        <v>#N/A</v>
      </c>
      <c r="U108" s="71" t="e">
        <f t="shared" si="61"/>
        <v>#N/A</v>
      </c>
      <c r="V108" s="44" t="e">
        <f>IF(H107="AFIII",VLOOKUP(D108,Sheet1!$A$4:$H$18,5,FALSE),IF(H107="UBIII",VLOOKUP(D108,Sheet1!$A$4:$H$18,8,FALSE),IF(H107="",VLOOKUP(D108,Sheet1!$A$4:$H$18,2,FALSE),"0")))</f>
        <v>#N/A</v>
      </c>
      <c r="W108" s="44">
        <f t="shared" si="76"/>
        <v>0</v>
      </c>
      <c r="X108" s="48" t="e">
        <f t="shared" si="77"/>
        <v>#N/A</v>
      </c>
      <c r="Y108" s="3" t="e">
        <f t="shared" si="62"/>
        <v>#N/A</v>
      </c>
      <c r="Z108" s="3" t="e">
        <f t="shared" si="63"/>
        <v>#N/A</v>
      </c>
    </row>
    <row r="109" spans="3:26">
      <c r="C109" s="60" t="e">
        <f t="shared" si="57"/>
        <v>#N/A</v>
      </c>
      <c r="E109" s="56" t="e">
        <f>IF(H108="AFIII",VLOOKUP($D109,Sheet1!$A$34:$K$48,5,FALSE),IF(H108="UBIII",VLOOKUP($D109,Sheet1!$A$34:$K$48,8,FALSE),VLOOKUP($D109,Sheet1!$A$34:$K$48,2,FALSE)))</f>
        <v>#N/A</v>
      </c>
      <c r="F109" s="56" t="e">
        <f>ROUNDDOWN((IF(H108="AFIII",VLOOKUP($D109,Sheet1!$A$34:$K$48,5,FALSE),IF(H108="UBIII",VLOOKUP($D109,Sheet1!$A$34:$K$48,8,FALSE),VLOOKUP($D109,Sheet1!$A$34:$K$48,2,FALSE))))*0.85,2)</f>
        <v>#N/A</v>
      </c>
      <c r="G109" s="56" t="e">
        <f t="shared" si="75"/>
        <v>#N/A</v>
      </c>
      <c r="H109" s="61" t="s">
        <v>84</v>
      </c>
      <c r="I109" s="56" t="e">
        <f t="shared" si="58"/>
        <v>#N/A</v>
      </c>
      <c r="K109" s="56" t="e">
        <f t="shared" si="59"/>
        <v>#N/A</v>
      </c>
      <c r="L109" s="56" t="e">
        <f t="shared" si="60"/>
        <v>#N/A</v>
      </c>
      <c r="U109" s="71" t="e">
        <f t="shared" si="61"/>
        <v>#N/A</v>
      </c>
      <c r="V109" s="44" t="e">
        <f>IF(H108="AFIII",VLOOKUP(D109,Sheet1!$A$4:$H$18,5,FALSE),IF(H108="UBIII",VLOOKUP(D109,Sheet1!$A$4:$H$18,8,FALSE),IF(H108="",VLOOKUP(D109,Sheet1!$A$4:$H$18,2,FALSE),"0")))</f>
        <v>#N/A</v>
      </c>
      <c r="W109" s="44">
        <f t="shared" si="76"/>
        <v>0</v>
      </c>
      <c r="X109" s="48" t="e">
        <f t="shared" si="77"/>
        <v>#N/A</v>
      </c>
      <c r="Y109" s="3" t="e">
        <f t="shared" si="62"/>
        <v>#N/A</v>
      </c>
      <c r="Z109" s="3" t="e">
        <f t="shared" si="63"/>
        <v>#N/A</v>
      </c>
    </row>
    <row r="110" spans="3:26">
      <c r="C110" s="60" t="e">
        <f t="shared" si="57"/>
        <v>#N/A</v>
      </c>
      <c r="E110" s="56" t="e">
        <f>IF(H109="AFIII",VLOOKUP($D110,Sheet1!$A$34:$K$48,5,FALSE),IF(H109="UBIII",VLOOKUP($D110,Sheet1!$A$34:$K$48,8,FALSE),VLOOKUP($D110,Sheet1!$A$34:$K$48,2,FALSE)))</f>
        <v>#N/A</v>
      </c>
      <c r="F110" s="56" t="e">
        <f>ROUNDDOWN((IF(H109="AFIII",VLOOKUP($D110,Sheet1!$A$34:$K$48,5,FALSE),IF(H109="UBIII",VLOOKUP($D110,Sheet1!$A$34:$K$48,8,FALSE),VLOOKUP($D110,Sheet1!$A$34:$K$48,2,FALSE))))*0.85,2)</f>
        <v>#N/A</v>
      </c>
      <c r="G110" s="56" t="e">
        <f t="shared" si="75"/>
        <v>#N/A</v>
      </c>
      <c r="H110" s="61" t="s">
        <v>84</v>
      </c>
      <c r="I110" s="56" t="e">
        <f t="shared" si="58"/>
        <v>#N/A</v>
      </c>
      <c r="K110" s="56" t="e">
        <f t="shared" si="59"/>
        <v>#N/A</v>
      </c>
      <c r="L110" s="56" t="e">
        <f t="shared" si="60"/>
        <v>#N/A</v>
      </c>
      <c r="U110" s="71" t="e">
        <f t="shared" si="61"/>
        <v>#N/A</v>
      </c>
      <c r="V110" s="44" t="e">
        <f>IF(H109="AFIII",VLOOKUP(D110,Sheet1!$A$4:$H$18,5,FALSE),IF(H109="UBIII",VLOOKUP(D110,Sheet1!$A$4:$H$18,8,FALSE),IF(H109="",VLOOKUP(D110,Sheet1!$A$4:$H$18,2,FALSE),"0")))</f>
        <v>#N/A</v>
      </c>
      <c r="W110" s="44">
        <f t="shared" si="76"/>
        <v>0</v>
      </c>
      <c r="X110" s="48" t="e">
        <f t="shared" si="77"/>
        <v>#N/A</v>
      </c>
      <c r="Y110" s="3" t="e">
        <f t="shared" si="62"/>
        <v>#N/A</v>
      </c>
      <c r="Z110" s="3" t="e">
        <f t="shared" si="63"/>
        <v>#N/A</v>
      </c>
    </row>
    <row r="111" spans="3:26">
      <c r="C111" s="60" t="e">
        <f t="shared" si="57"/>
        <v>#N/A</v>
      </c>
      <c r="E111" s="56" t="e">
        <f>IF(H110="AFIII",VLOOKUP($D111,Sheet1!$A$34:$K$48,5,FALSE),IF(H110="UBIII",VLOOKUP($D111,Sheet1!$A$34:$K$48,8,FALSE),VLOOKUP($D111,Sheet1!$A$34:$K$48,2,FALSE)))</f>
        <v>#N/A</v>
      </c>
      <c r="F111" s="56" t="e">
        <f>ROUNDDOWN((IF(H110="AFIII",VLOOKUP($D111,Sheet1!$A$34:$K$48,5,FALSE),IF(H110="UBIII",VLOOKUP($D111,Sheet1!$A$34:$K$48,8,FALSE),VLOOKUP($D111,Sheet1!$A$34:$K$48,2,FALSE))))*0.85,2)</f>
        <v>#N/A</v>
      </c>
      <c r="G111" s="56" t="e">
        <f t="shared" si="75"/>
        <v>#N/A</v>
      </c>
      <c r="H111" s="61" t="s">
        <v>84</v>
      </c>
      <c r="I111" s="56" t="e">
        <f t="shared" si="58"/>
        <v>#N/A</v>
      </c>
      <c r="K111" s="56" t="e">
        <f t="shared" si="59"/>
        <v>#N/A</v>
      </c>
      <c r="L111" s="56" t="e">
        <f t="shared" si="60"/>
        <v>#N/A</v>
      </c>
      <c r="U111" s="71" t="e">
        <f t="shared" si="61"/>
        <v>#N/A</v>
      </c>
      <c r="V111" s="44" t="e">
        <f>IF(H110="AFIII",VLOOKUP(D111,Sheet1!$A$4:$H$18,5,FALSE),IF(H110="UBIII",VLOOKUP(D111,Sheet1!$A$4:$H$18,8,FALSE),IF(H110="",VLOOKUP(D111,Sheet1!$A$4:$H$18,2,FALSE),"0")))</f>
        <v>#N/A</v>
      </c>
      <c r="W111" s="44">
        <f t="shared" si="76"/>
        <v>0</v>
      </c>
      <c r="X111" s="48" t="e">
        <f t="shared" si="77"/>
        <v>#N/A</v>
      </c>
      <c r="Y111" s="3" t="e">
        <f t="shared" si="62"/>
        <v>#N/A</v>
      </c>
      <c r="Z111" s="3" t="e">
        <f t="shared" si="63"/>
        <v>#N/A</v>
      </c>
    </row>
    <row r="112" spans="3:26">
      <c r="C112" s="60" t="e">
        <f t="shared" si="57"/>
        <v>#N/A</v>
      </c>
      <c r="E112" s="56" t="e">
        <f>IF(H111="AFIII",VLOOKUP($D112,Sheet1!$A$34:$K$48,5,FALSE),IF(H111="UBIII",VLOOKUP($D112,Sheet1!$A$34:$K$48,8,FALSE),VLOOKUP($D112,Sheet1!$A$34:$K$48,2,FALSE)))</f>
        <v>#N/A</v>
      </c>
      <c r="F112" s="56" t="e">
        <f>ROUNDDOWN((IF(H111="AFIII",VLOOKUP($D112,Sheet1!$A$34:$K$48,5,FALSE),IF(H111="UBIII",VLOOKUP($D112,Sheet1!$A$34:$K$48,8,FALSE),VLOOKUP($D112,Sheet1!$A$34:$K$48,2,FALSE))))*0.85,2)</f>
        <v>#N/A</v>
      </c>
      <c r="G112" s="56" t="e">
        <f t="shared" si="75"/>
        <v>#N/A</v>
      </c>
      <c r="H112" s="61" t="s">
        <v>84</v>
      </c>
      <c r="I112" s="56" t="e">
        <f t="shared" si="58"/>
        <v>#N/A</v>
      </c>
      <c r="K112" s="56" t="e">
        <f t="shared" si="59"/>
        <v>#N/A</v>
      </c>
      <c r="L112" s="56" t="e">
        <f t="shared" si="60"/>
        <v>#N/A</v>
      </c>
      <c r="U112" s="71" t="e">
        <f t="shared" si="61"/>
        <v>#N/A</v>
      </c>
      <c r="V112" s="44" t="e">
        <f>IF(H111="AFIII",VLOOKUP(D112,Sheet1!$A$4:$H$18,5,FALSE),IF(H111="UBIII",VLOOKUP(D112,Sheet1!$A$4:$H$18,8,FALSE),IF(H111="",VLOOKUP(D112,Sheet1!$A$4:$H$18,2,FALSE),"0")))</f>
        <v>#N/A</v>
      </c>
      <c r="W112" s="44">
        <f t="shared" si="76"/>
        <v>0</v>
      </c>
      <c r="X112" s="48" t="e">
        <f t="shared" si="77"/>
        <v>#N/A</v>
      </c>
      <c r="Y112" s="3" t="e">
        <f t="shared" si="62"/>
        <v>#N/A</v>
      </c>
      <c r="Z112" s="3" t="e">
        <f t="shared" si="63"/>
        <v>#N/A</v>
      </c>
    </row>
    <row r="113" spans="4:24">
      <c r="D113" s="3"/>
      <c r="V113" s="44"/>
      <c r="W113" s="44"/>
      <c r="X113" s="48"/>
    </row>
    <row r="114" spans="4:24">
      <c r="D114" s="3"/>
      <c r="V114" s="44"/>
      <c r="W114" s="44"/>
      <c r="X114" s="48"/>
    </row>
    <row r="115" spans="4:24">
      <c r="D115" s="3"/>
      <c r="V115" s="44"/>
      <c r="W115" s="44"/>
      <c r="X115" s="48"/>
    </row>
    <row r="116" spans="4:24">
      <c r="D116" s="3"/>
      <c r="V116" s="44"/>
      <c r="W116" s="44"/>
      <c r="X116" s="48"/>
    </row>
    <row r="117" spans="4:24">
      <c r="D117" s="3"/>
      <c r="V117" s="44"/>
      <c r="W117" s="44"/>
      <c r="X117" s="48"/>
    </row>
    <row r="118" spans="4:24">
      <c r="D118" s="3"/>
      <c r="V118" s="44"/>
      <c r="W118" s="44"/>
      <c r="X118" s="48"/>
    </row>
    <row r="119" spans="4:24">
      <c r="D119" s="3"/>
      <c r="V119" s="44"/>
      <c r="W119" s="44"/>
      <c r="X119" s="48"/>
    </row>
    <row r="120" spans="4:24">
      <c r="D120" s="3"/>
      <c r="V120" s="44"/>
      <c r="W120" s="44"/>
      <c r="X120" s="48"/>
    </row>
    <row r="121" spans="4:24">
      <c r="D121" s="3"/>
      <c r="V121" s="44"/>
      <c r="W121" s="44"/>
      <c r="X121" s="48"/>
    </row>
    <row r="122" spans="4:24">
      <c r="D122" s="3"/>
      <c r="V122" s="44"/>
      <c r="W122" s="44"/>
      <c r="X122" s="48"/>
    </row>
    <row r="123" spans="4:24">
      <c r="D123" s="3"/>
      <c r="V123" s="44"/>
      <c r="W123" s="44"/>
      <c r="X123" s="48"/>
    </row>
    <row r="124" spans="4:24">
      <c r="D124" s="3"/>
      <c r="V124" s="44"/>
      <c r="W124" s="44"/>
      <c r="X124" s="48"/>
    </row>
    <row r="125" spans="4:24">
      <c r="D125" s="3"/>
      <c r="V125" s="44"/>
      <c r="W125" s="44"/>
      <c r="X125" s="48"/>
    </row>
    <row r="126" spans="4:24">
      <c r="D126" s="3"/>
      <c r="V126" s="44"/>
      <c r="W126" s="44"/>
      <c r="X126" s="48"/>
    </row>
    <row r="127" spans="4:24">
      <c r="D127" s="3"/>
      <c r="V127" s="44"/>
      <c r="W127" s="44"/>
      <c r="X127" s="48"/>
    </row>
    <row r="128" spans="4:24">
      <c r="D128" s="3"/>
      <c r="V128" s="44"/>
      <c r="W128" s="44"/>
      <c r="X128" s="48"/>
    </row>
    <row r="129" spans="4:24">
      <c r="D129" s="3"/>
      <c r="V129" s="44"/>
      <c r="W129" s="44"/>
      <c r="X129" s="48"/>
    </row>
    <row r="130" spans="4:24">
      <c r="D130" s="3"/>
      <c r="V130" s="44"/>
      <c r="W130" s="44"/>
      <c r="X130" s="48"/>
    </row>
    <row r="131" spans="4:24">
      <c r="D131" s="3"/>
      <c r="V131" s="44"/>
      <c r="W131" s="44"/>
      <c r="X131" s="48"/>
    </row>
    <row r="132" spans="4:24">
      <c r="D132" s="3"/>
      <c r="V132" s="44"/>
      <c r="W132" s="44"/>
      <c r="X132" s="48"/>
    </row>
    <row r="133" spans="4:24">
      <c r="D133" s="3"/>
      <c r="V133" s="44"/>
      <c r="W133" s="44"/>
      <c r="X133" s="48"/>
    </row>
    <row r="134" spans="4:24">
      <c r="D134" s="3"/>
      <c r="V134" s="44"/>
      <c r="W134" s="44"/>
      <c r="X134" s="48"/>
    </row>
    <row r="135" spans="4:24">
      <c r="D135" s="3"/>
      <c r="V135" s="44"/>
      <c r="W135" s="44"/>
      <c r="X135" s="48"/>
    </row>
    <row r="136" spans="4:24">
      <c r="D136" s="3"/>
      <c r="V136" s="44"/>
      <c r="W136" s="44"/>
      <c r="X136" s="48"/>
    </row>
    <row r="137" spans="4:24">
      <c r="D137" s="3"/>
      <c r="V137" s="44"/>
      <c r="W137" s="44"/>
      <c r="X137" s="48"/>
    </row>
    <row r="138" spans="4:24">
      <c r="D138" s="3"/>
      <c r="V138" s="44"/>
      <c r="W138" s="44"/>
      <c r="X138" s="48"/>
    </row>
    <row r="139" spans="4:24">
      <c r="D139" s="3"/>
      <c r="V139" s="44"/>
      <c r="W139" s="44"/>
      <c r="X139" s="48"/>
    </row>
    <row r="140" spans="4:24">
      <c r="D140" s="3"/>
      <c r="V140" s="44"/>
      <c r="W140" s="44"/>
      <c r="X140" s="48"/>
    </row>
    <row r="141" spans="4:24">
      <c r="D141" s="3"/>
      <c r="V141" s="44"/>
      <c r="W141" s="44"/>
      <c r="X141" s="48"/>
    </row>
    <row r="142" spans="4:24">
      <c r="D142" s="3"/>
      <c r="V142" s="44"/>
      <c r="W142" s="44"/>
      <c r="X142" s="48"/>
    </row>
    <row r="143" spans="4:24">
      <c r="D143" s="3"/>
      <c r="V143" s="44"/>
      <c r="W143" s="44"/>
      <c r="X143" s="48"/>
    </row>
    <row r="144" spans="4:24">
      <c r="D144" s="3"/>
      <c r="V144" s="44"/>
      <c r="W144" s="44"/>
      <c r="X144" s="48"/>
    </row>
    <row r="145" spans="4:24">
      <c r="D145" s="3"/>
      <c r="V145" s="44"/>
      <c r="W145" s="44"/>
      <c r="X145" s="48"/>
    </row>
    <row r="146" spans="4:24">
      <c r="D146" s="3"/>
      <c r="V146" s="44"/>
      <c r="W146" s="44"/>
      <c r="X146" s="48"/>
    </row>
    <row r="147" spans="4:24">
      <c r="D147" s="3"/>
      <c r="V147" s="44"/>
      <c r="W147" s="44"/>
      <c r="X147" s="48"/>
    </row>
    <row r="148" spans="4:24">
      <c r="D148" s="3"/>
      <c r="V148" s="44"/>
      <c r="W148" s="44"/>
      <c r="X148" s="48"/>
    </row>
    <row r="149" spans="4:24">
      <c r="D149" s="3"/>
      <c r="V149" s="44"/>
      <c r="W149" s="44"/>
      <c r="X149" s="48"/>
    </row>
    <row r="150" spans="4:24">
      <c r="D150" s="3"/>
    </row>
    <row r="151" spans="4:24">
      <c r="D151" s="3"/>
    </row>
    <row r="152" spans="4:24">
      <c r="D152" s="3"/>
    </row>
    <row r="153" spans="4:24">
      <c r="D153" s="3"/>
    </row>
    <row r="154" spans="4:24">
      <c r="D154" s="3"/>
    </row>
    <row r="155" spans="4:24">
      <c r="D155" s="3"/>
    </row>
    <row r="156" spans="4:24">
      <c r="D156" s="3"/>
    </row>
    <row r="157" spans="4:24">
      <c r="D157" s="3"/>
    </row>
    <row r="158" spans="4:24">
      <c r="D158" s="3"/>
    </row>
    <row r="159" spans="4:24">
      <c r="D159" s="3"/>
    </row>
    <row r="160" spans="4:24">
      <c r="D160" s="3"/>
    </row>
    <row r="161" spans="4:24">
      <c r="D161" s="3"/>
    </row>
    <row r="162" spans="4:24">
      <c r="D162" s="3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"/>
      <c r="W162" s="3"/>
      <c r="X162" s="3"/>
    </row>
    <row r="163" spans="4:24">
      <c r="D163" s="3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"/>
      <c r="W163" s="3"/>
      <c r="X163" s="3"/>
    </row>
    <row r="164" spans="4:24">
      <c r="D164" s="3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"/>
      <c r="W164" s="3"/>
      <c r="X164" s="3"/>
    </row>
    <row r="165" spans="4:24">
      <c r="D165" s="3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"/>
      <c r="W165" s="3"/>
      <c r="X165" s="3"/>
    </row>
    <row r="166" spans="4:24">
      <c r="D166" s="3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"/>
      <c r="W166" s="3"/>
      <c r="X166" s="3"/>
    </row>
    <row r="167" spans="4:24">
      <c r="D167" s="3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"/>
      <c r="W167" s="3"/>
      <c r="X167" s="3"/>
    </row>
    <row r="168" spans="4:24">
      <c r="D168" s="3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"/>
      <c r="W168" s="3"/>
      <c r="X168" s="3"/>
    </row>
    <row r="169" spans="4:24">
      <c r="D169" s="3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"/>
      <c r="W169" s="3"/>
      <c r="X169" s="3"/>
    </row>
    <row r="170" spans="4:24">
      <c r="D170" s="3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"/>
      <c r="W170" s="3"/>
      <c r="X170" s="3"/>
    </row>
    <row r="171" spans="4:24">
      <c r="D171" s="3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"/>
      <c r="W171" s="3"/>
      <c r="X171" s="3"/>
    </row>
    <row r="172" spans="4:24">
      <c r="D172" s="3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"/>
      <c r="W172" s="3"/>
      <c r="X172" s="3"/>
    </row>
    <row r="173" spans="4:24">
      <c r="D173" s="3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"/>
      <c r="W173" s="3"/>
      <c r="X173" s="3"/>
    </row>
    <row r="174" spans="4:24">
      <c r="D174" s="3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"/>
      <c r="W174" s="3"/>
      <c r="X174" s="3"/>
    </row>
    <row r="175" spans="4:24">
      <c r="D175" s="3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"/>
      <c r="W175" s="3"/>
      <c r="X175" s="3"/>
    </row>
    <row r="176" spans="4:24">
      <c r="D176" s="3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"/>
      <c r="W176" s="3"/>
      <c r="X176" s="3"/>
    </row>
    <row r="177" spans="4:24">
      <c r="D177" s="3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"/>
      <c r="W177" s="3"/>
      <c r="X177" s="3"/>
    </row>
    <row r="178" spans="4:24">
      <c r="D178" s="3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"/>
      <c r="W178" s="3"/>
      <c r="X178" s="3"/>
    </row>
    <row r="179" spans="4:24">
      <c r="D179" s="3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"/>
      <c r="W179" s="3"/>
      <c r="X179" s="3"/>
    </row>
    <row r="180" spans="4:24">
      <c r="D180" s="3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"/>
      <c r="W180" s="3"/>
      <c r="X180" s="3"/>
    </row>
    <row r="181" spans="4:24">
      <c r="D181" s="3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"/>
      <c r="W181" s="3"/>
      <c r="X181" s="3"/>
    </row>
    <row r="182" spans="4:24">
      <c r="D182" s="3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3"/>
      <c r="W182" s="3"/>
      <c r="X182" s="3"/>
    </row>
    <row r="183" spans="4:24">
      <c r="D183" s="3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3"/>
      <c r="W183" s="3"/>
      <c r="X183" s="3"/>
    </row>
    <row r="184" spans="4:24">
      <c r="D184" s="3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3"/>
      <c r="W184" s="3"/>
      <c r="X184" s="3"/>
    </row>
    <row r="185" spans="4:24">
      <c r="D185" s="3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3"/>
      <c r="W185" s="3"/>
      <c r="X185" s="3"/>
    </row>
    <row r="186" spans="4:24">
      <c r="D186" s="3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3"/>
      <c r="W186" s="3"/>
      <c r="X186" s="3"/>
    </row>
    <row r="187" spans="4:24">
      <c r="D187" s="3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3"/>
      <c r="W187" s="3"/>
      <c r="X187" s="3"/>
    </row>
    <row r="188" spans="4:24">
      <c r="D188" s="3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3"/>
      <c r="W188" s="3"/>
      <c r="X188" s="3"/>
    </row>
    <row r="189" spans="4:24">
      <c r="D189" s="3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3"/>
      <c r="W189" s="3"/>
      <c r="X189" s="3"/>
    </row>
    <row r="190" spans="4:24">
      <c r="D190" s="3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3"/>
      <c r="W190" s="3"/>
      <c r="X190" s="3"/>
    </row>
    <row r="191" spans="4:24">
      <c r="D191" s="3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3"/>
      <c r="W191" s="3"/>
      <c r="X191" s="3"/>
    </row>
    <row r="192" spans="4:24">
      <c r="D192" s="3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3"/>
      <c r="W192" s="3"/>
      <c r="X192" s="3"/>
    </row>
    <row r="193" spans="4:24">
      <c r="D193" s="3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3"/>
      <c r="W193" s="3"/>
      <c r="X193" s="3"/>
    </row>
    <row r="194" spans="4:24">
      <c r="D194" s="3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3"/>
      <c r="W194" s="3"/>
      <c r="X194" s="3"/>
    </row>
    <row r="195" spans="4:24">
      <c r="D195" s="3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3"/>
      <c r="W195" s="3"/>
      <c r="X195" s="3"/>
    </row>
    <row r="196" spans="4:24">
      <c r="D196" s="3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3"/>
      <c r="W196" s="3"/>
      <c r="X196" s="3"/>
    </row>
    <row r="197" spans="4:24">
      <c r="D197" s="3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3"/>
      <c r="W197" s="3"/>
      <c r="X197" s="3"/>
    </row>
    <row r="198" spans="4:24">
      <c r="D198" s="3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3"/>
      <c r="W198" s="3"/>
      <c r="X198" s="3"/>
    </row>
    <row r="199" spans="4:24">
      <c r="D199" s="3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3"/>
      <c r="W199" s="3"/>
      <c r="X199" s="3"/>
    </row>
    <row r="200" spans="4:24">
      <c r="D200" s="3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3"/>
      <c r="W200" s="3"/>
      <c r="X200" s="3"/>
    </row>
    <row r="201" spans="4:24">
      <c r="D201" s="3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3"/>
      <c r="W201" s="3"/>
      <c r="X201" s="3"/>
    </row>
    <row r="202" spans="4:24">
      <c r="D202" s="3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3"/>
      <c r="W202" s="3"/>
      <c r="X202" s="3"/>
    </row>
    <row r="203" spans="4:24">
      <c r="D203" s="3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3"/>
      <c r="W203" s="3"/>
      <c r="X203" s="3"/>
    </row>
    <row r="204" spans="4:24">
      <c r="D204" s="3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3"/>
      <c r="W204" s="3"/>
      <c r="X204" s="3"/>
    </row>
    <row r="205" spans="4:24">
      <c r="D205" s="3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3"/>
      <c r="W205" s="3"/>
      <c r="X205" s="3"/>
    </row>
    <row r="206" spans="4:24">
      <c r="D206" s="3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3"/>
      <c r="W206" s="3"/>
      <c r="X206" s="3"/>
    </row>
    <row r="207" spans="4:24">
      <c r="D207" s="3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3"/>
      <c r="W207" s="3"/>
      <c r="X207" s="3"/>
    </row>
    <row r="208" spans="4:24">
      <c r="D208" s="3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3"/>
      <c r="W208" s="3"/>
      <c r="X208" s="3"/>
    </row>
    <row r="209" spans="4:24">
      <c r="D209" s="3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3"/>
      <c r="W209" s="3"/>
      <c r="X209" s="3"/>
    </row>
    <row r="210" spans="4:24">
      <c r="D210" s="3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3"/>
      <c r="W210" s="3"/>
      <c r="X210" s="3"/>
    </row>
    <row r="211" spans="4:24">
      <c r="D211" s="3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3"/>
      <c r="W211" s="3"/>
      <c r="X211" s="3"/>
    </row>
    <row r="212" spans="4:24">
      <c r="D212" s="3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3"/>
      <c r="W212" s="3"/>
      <c r="X212" s="3"/>
    </row>
    <row r="213" spans="4:24">
      <c r="D213" s="3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3"/>
      <c r="W213" s="3"/>
      <c r="X213" s="3"/>
    </row>
    <row r="214" spans="4:24">
      <c r="D214" s="3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3"/>
      <c r="W214" s="3"/>
      <c r="X214" s="3"/>
    </row>
    <row r="215" spans="4:24">
      <c r="D215" s="3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3"/>
      <c r="W215" s="3"/>
      <c r="X215" s="3"/>
    </row>
    <row r="216" spans="4:24">
      <c r="D216" s="3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3"/>
      <c r="W216" s="3"/>
      <c r="X216" s="3"/>
    </row>
    <row r="217" spans="4:24">
      <c r="D217" s="3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3"/>
      <c r="W217" s="3"/>
      <c r="X217" s="3"/>
    </row>
    <row r="218" spans="4:24">
      <c r="D218" s="3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3"/>
      <c r="W218" s="3"/>
      <c r="X218" s="3"/>
    </row>
    <row r="219" spans="4:24">
      <c r="D219" s="3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3"/>
      <c r="W219" s="3"/>
      <c r="X219" s="3"/>
    </row>
    <row r="220" spans="4:24">
      <c r="D220" s="3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3"/>
      <c r="W220" s="3"/>
      <c r="X220" s="3"/>
    </row>
    <row r="221" spans="4:24">
      <c r="D221" s="3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3"/>
      <c r="W221" s="3"/>
      <c r="X221" s="3"/>
    </row>
    <row r="222" spans="4:24">
      <c r="D222" s="3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3"/>
      <c r="W222" s="3"/>
      <c r="X222" s="3"/>
    </row>
    <row r="223" spans="4:24">
      <c r="D223" s="3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3"/>
      <c r="W223" s="3"/>
      <c r="X223" s="3"/>
    </row>
    <row r="224" spans="4:24">
      <c r="D224" s="3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3"/>
      <c r="W224" s="3"/>
      <c r="X224" s="3"/>
    </row>
    <row r="225" spans="4:24">
      <c r="D225" s="3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3"/>
      <c r="W225" s="3"/>
      <c r="X225" s="3"/>
    </row>
    <row r="226" spans="4:24">
      <c r="D226" s="3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3"/>
      <c r="W226" s="3"/>
      <c r="X226" s="3"/>
    </row>
    <row r="227" spans="4:24">
      <c r="D227" s="3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3"/>
      <c r="W227" s="3"/>
      <c r="X227" s="3"/>
    </row>
    <row r="228" spans="4:24">
      <c r="D228" s="3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3"/>
      <c r="W228" s="3"/>
      <c r="X228" s="3"/>
    </row>
    <row r="229" spans="4:24">
      <c r="D229" s="3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3"/>
      <c r="W229" s="3"/>
      <c r="X229" s="3"/>
    </row>
    <row r="230" spans="4:24">
      <c r="D230" s="3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3"/>
      <c r="W230" s="3"/>
      <c r="X230" s="3"/>
    </row>
    <row r="231" spans="4:24">
      <c r="D231" s="3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3"/>
      <c r="W231" s="3"/>
      <c r="X231" s="3"/>
    </row>
    <row r="232" spans="4:24">
      <c r="D232" s="3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3"/>
      <c r="W232" s="3"/>
      <c r="X232" s="3"/>
    </row>
    <row r="233" spans="4:24">
      <c r="D233" s="3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3"/>
      <c r="W233" s="3"/>
      <c r="X233" s="3"/>
    </row>
    <row r="234" spans="4:24">
      <c r="D234" s="3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3"/>
      <c r="W234" s="3"/>
      <c r="X234" s="3"/>
    </row>
    <row r="235" spans="4:24">
      <c r="D235" s="3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3"/>
      <c r="W235" s="3"/>
      <c r="X235" s="3"/>
    </row>
    <row r="236" spans="4:24">
      <c r="D236" s="3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3"/>
      <c r="W236" s="3"/>
      <c r="X236" s="3"/>
    </row>
    <row r="237" spans="4:24">
      <c r="D237" s="3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3"/>
      <c r="W237" s="3"/>
      <c r="X237" s="3"/>
    </row>
    <row r="238" spans="4:24">
      <c r="D238" s="3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3"/>
      <c r="W238" s="3"/>
      <c r="X238" s="3"/>
    </row>
    <row r="239" spans="4:24">
      <c r="D239" s="3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3"/>
      <c r="W239" s="3"/>
      <c r="X239" s="3"/>
    </row>
  </sheetData>
  <mergeCells count="5">
    <mergeCell ref="Q1:R1"/>
    <mergeCell ref="N1:P1"/>
    <mergeCell ref="H2:U2"/>
    <mergeCell ref="V2:W2"/>
    <mergeCell ref="D2:G2"/>
  </mergeCells>
  <phoneticPr fontId="1"/>
  <conditionalFormatting sqref="M1 E19:G63 Q24:Q31 R19:R40 U26:U51 G6:G47 K2:R26 S1:W26 D1:J26 D99:W1048576 V5:W77 X99:X149 X3:X97 D27:W97">
    <cfRule type="expression" dxfId="23" priority="2">
      <formula>MOD(ROW(),2)=0</formula>
    </cfRule>
  </conditionalFormatting>
  <pageMargins left="0.7" right="0.7" top="0.75" bottom="0.75" header="0.3" footer="0.3"/>
  <pageSetup paperSiz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9"/>
  <sheetViews>
    <sheetView workbookViewId="0">
      <selection activeCell="D36" sqref="D36"/>
    </sheetView>
  </sheetViews>
  <sheetFormatPr defaultRowHeight="14.25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40"/>
    <col min="5" max="5" width="5.875" style="56" bestFit="1" customWidth="1"/>
    <col min="6" max="6" width="6.375" style="56" bestFit="1" customWidth="1"/>
    <col min="7" max="7" width="6.375" style="56" customWidth="1"/>
    <col min="8" max="8" width="9.125" style="61" bestFit="1" customWidth="1"/>
    <col min="9" max="9" width="9.125" style="56" bestFit="1" customWidth="1"/>
    <col min="10" max="10" width="7.875" style="61" bestFit="1" customWidth="1"/>
    <col min="11" max="12" width="7" style="56" bestFit="1" customWidth="1"/>
    <col min="13" max="13" width="7.875" style="61" bestFit="1" customWidth="1"/>
    <col min="14" max="14" width="6.875" style="56" bestFit="1" customWidth="1"/>
    <col min="15" max="15" width="7.875" style="56" bestFit="1" customWidth="1"/>
    <col min="16" max="16" width="6.875" style="61" customWidth="1"/>
    <col min="17" max="18" width="6.875" style="56" customWidth="1"/>
    <col min="19" max="19" width="9.125" style="61" bestFit="1" customWidth="1"/>
    <col min="20" max="20" width="6.875" style="56" bestFit="1" customWidth="1"/>
    <col min="21" max="21" width="7.875" style="71" bestFit="1" customWidth="1"/>
    <col min="22" max="23" width="9" style="134"/>
    <col min="24" max="24" width="9.25" style="46" bestFit="1" customWidth="1"/>
    <col min="25" max="26" width="9" style="136"/>
    <col min="27" max="16384" width="9" style="3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100" t="s">
        <v>146</v>
      </c>
      <c r="H1" s="101">
        <v>254</v>
      </c>
      <c r="I1" s="100" t="s">
        <v>115</v>
      </c>
      <c r="J1" s="101">
        <f>3</f>
        <v>3</v>
      </c>
      <c r="K1" s="307" t="s">
        <v>144</v>
      </c>
      <c r="L1" s="307"/>
      <c r="M1" s="101">
        <v>5</v>
      </c>
      <c r="N1" s="307" t="s">
        <v>145</v>
      </c>
      <c r="O1" s="307"/>
      <c r="P1" s="102">
        <f>H1+J1+M1</f>
        <v>262</v>
      </c>
      <c r="Q1" s="307" t="s">
        <v>116</v>
      </c>
      <c r="R1" s="307"/>
      <c r="S1" s="101">
        <v>12.5</v>
      </c>
      <c r="T1" s="100" t="s">
        <v>117</v>
      </c>
      <c r="U1" s="104">
        <f>Sheet1!B27</f>
        <v>884</v>
      </c>
      <c r="V1" s="126" t="s">
        <v>118</v>
      </c>
      <c r="W1" s="127">
        <v>242</v>
      </c>
      <c r="X1" s="103">
        <f>ROUNDDOWN(X3*0.3,0)</f>
        <v>3451</v>
      </c>
      <c r="Y1" s="136" t="s">
        <v>123</v>
      </c>
    </row>
    <row r="2" spans="1:27">
      <c r="D2" s="304" t="s">
        <v>32</v>
      </c>
      <c r="E2" s="305"/>
      <c r="F2" s="305"/>
      <c r="G2" s="306"/>
      <c r="H2" s="300" t="s">
        <v>112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  <c r="V2" s="308"/>
      <c r="W2" s="308"/>
      <c r="X2" s="50">
        <v>7033</v>
      </c>
      <c r="Y2" s="136" t="s">
        <v>124</v>
      </c>
    </row>
    <row r="3" spans="1:27">
      <c r="A3" s="114" t="s">
        <v>33</v>
      </c>
      <c r="B3" s="115" t="s">
        <v>45</v>
      </c>
      <c r="C3" s="114" t="s">
        <v>127</v>
      </c>
      <c r="D3" s="83" t="s">
        <v>107</v>
      </c>
      <c r="E3" s="54" t="s">
        <v>108</v>
      </c>
      <c r="F3" s="54" t="s">
        <v>120</v>
      </c>
      <c r="G3" s="54"/>
      <c r="H3" s="82" t="s">
        <v>107</v>
      </c>
      <c r="I3" s="54" t="s">
        <v>108</v>
      </c>
      <c r="J3" s="82" t="s">
        <v>107</v>
      </c>
      <c r="K3" s="54" t="s">
        <v>108</v>
      </c>
      <c r="L3" s="54" t="s">
        <v>119</v>
      </c>
      <c r="M3" s="82" t="s">
        <v>107</v>
      </c>
      <c r="N3" s="54" t="s">
        <v>108</v>
      </c>
      <c r="O3" s="54" t="s">
        <v>119</v>
      </c>
      <c r="P3" s="82" t="s">
        <v>107</v>
      </c>
      <c r="Q3" s="54" t="s">
        <v>108</v>
      </c>
      <c r="R3" s="54" t="s">
        <v>119</v>
      </c>
      <c r="S3" s="82" t="s">
        <v>107</v>
      </c>
      <c r="T3" s="54" t="s">
        <v>108</v>
      </c>
      <c r="U3" s="68" t="s">
        <v>119</v>
      </c>
      <c r="V3" s="128" t="s">
        <v>110</v>
      </c>
      <c r="W3" s="128" t="s">
        <v>111</v>
      </c>
      <c r="X3" s="47">
        <f>U1*S1+ROUNDDOWN(((P1-W1)/W1/2*U1*S1),0)</f>
        <v>11506</v>
      </c>
      <c r="Y3" s="137" t="s">
        <v>143</v>
      </c>
      <c r="Z3" s="137" t="s">
        <v>142</v>
      </c>
    </row>
    <row r="4" spans="1:27" ht="15" thickBot="1">
      <c r="A4" s="116">
        <v>0</v>
      </c>
      <c r="B4" s="117">
        <v>0</v>
      </c>
      <c r="C4" s="116">
        <v>0</v>
      </c>
      <c r="D4" s="91" t="s">
        <v>156</v>
      </c>
      <c r="E4" s="92">
        <v>0</v>
      </c>
      <c r="F4" s="92">
        <v>0</v>
      </c>
      <c r="G4" s="92">
        <v>0</v>
      </c>
      <c r="H4" s="93"/>
      <c r="I4" s="92">
        <v>0</v>
      </c>
      <c r="J4" s="93"/>
      <c r="K4" s="92">
        <v>0</v>
      </c>
      <c r="L4" s="92">
        <v>0</v>
      </c>
      <c r="M4" s="93"/>
      <c r="N4" s="92">
        <v>0</v>
      </c>
      <c r="O4" s="92">
        <v>0</v>
      </c>
      <c r="P4" s="93"/>
      <c r="Q4" s="92">
        <v>0</v>
      </c>
      <c r="R4" s="92">
        <v>0</v>
      </c>
      <c r="S4" s="93"/>
      <c r="T4" s="92">
        <v>0</v>
      </c>
      <c r="U4" s="94">
        <v>0</v>
      </c>
      <c r="V4" s="129" t="str">
        <f>IF(H3="AFIII",VLOOKUP(D4,Sheet1!$A$4:$H$18,5,FALSE),IF(H3="UBIII",VLOOKUP(D4,Sheet1!$A$4:$H$18,8,FALSE),IF(H3="",VLOOKUP(D4,Sheet1!$A$4:$H$18,2,FALSE),"0")))</f>
        <v>0</v>
      </c>
      <c r="W4" s="129">
        <f>IF(H4="UBIII",$X$2,0)</f>
        <v>0</v>
      </c>
      <c r="X4" s="90">
        <f>IF(D4="フレア",IF(M4="コンバート",$X$1,0),IF(X3-V4+W4&gt;$X$3,$X$3-V4,X3-V4+W4))</f>
        <v>11506</v>
      </c>
      <c r="Y4" s="138" t="str">
        <f>IF(X3-V4&lt;0,"ERROR","SUCCESS")</f>
        <v>SUCCESS</v>
      </c>
      <c r="Z4" s="138"/>
      <c r="AA4" s="3" t="s">
        <v>157</v>
      </c>
    </row>
    <row r="5" spans="1:27" ht="15" thickTop="1">
      <c r="A5" s="112">
        <f>ROUNDDOWN(IF(N4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>B4+A5</f>
        <v>240</v>
      </c>
      <c r="C5" s="118">
        <f t="shared" ref="C5:C45" si="0">C4+G5</f>
        <v>3.34</v>
      </c>
      <c r="D5" s="40" t="s">
        <v>4</v>
      </c>
      <c r="E5" s="56">
        <f>IF(H4="AFIII",VLOOKUP($D5,Sheet1!$A$34:$K$48,5,FALSE),IF(H4="UBIII",VLOOKUP($D5,Sheet1!$A$34:$K$48,8,FALSE),VLOOKUP($D5,Sheet1!$A$34:$K$48,2,FALSE)))</f>
        <v>3.34</v>
      </c>
      <c r="F5" s="56">
        <f>ROUNDDOWN((IF(H4="AFIII",VLOOKUP($D5,Sheet1!$A$34:$K$48,5,FALSE),IF(H4="UBIII",VLOOKUP($D5,Sheet1!$A$34:$K$48,8,FALSE),VLOOKUP($D5,Sheet1!$A$34:$K$48,2,FALSE))))*0.85,2)</f>
        <v>2.83</v>
      </c>
      <c r="G5" s="56">
        <f>IF(M4="迅速",IF(S4="黒魔紋",$F$1,$E$1),IF(S4="黒魔紋",IF(F5&lt;$F$1,$F$1,F5),IF(E5&lt;$E$1,$E$1,E5)))</f>
        <v>3.34</v>
      </c>
      <c r="H5" s="61" t="s">
        <v>84</v>
      </c>
      <c r="I5" s="56">
        <v>10</v>
      </c>
      <c r="V5" s="130">
        <f>IF(H4="AFIII",VLOOKUP(D5,Sheet1!$A$4:$H$18,5,FALSE),IF(H4="UBIII",VLOOKUP(D5,Sheet1!$A$4:$H$18,8,FALSE),IF(H4="",VLOOKUP(D5,Sheet1!$A$4:$H$18,2,FALSE),"0")))</f>
        <v>1768</v>
      </c>
      <c r="W5" s="130">
        <f>IF(H4="UBIII",$X$2,0)</f>
        <v>0</v>
      </c>
      <c r="X5" s="48">
        <f t="shared" ref="X5:X68" si="1">IF(D5="フレア",IF(M5="コンバート",$X$1,0),IF(X4-V5+W5&gt;$X$3,$X$3-V5,X4-V5+W5))</f>
        <v>9738</v>
      </c>
      <c r="Y5" s="136" t="str">
        <f t="shared" ref="Y5:Y68" si="2">IF(X4-V5&lt;0,"ERROR","SUCCESS")</f>
        <v>SUCCESS</v>
      </c>
      <c r="Z5" s="136" t="str">
        <f t="shared" ref="Z5:Z68" si="3">IF(K4-G5&lt;0,"ERROR","SUCCESS")</f>
        <v>ERROR</v>
      </c>
      <c r="AA5" s="141">
        <f>B5/C5</f>
        <v>71.856287425149702</v>
      </c>
    </row>
    <row r="6" spans="1:27">
      <c r="A6" s="112">
        <f>ROUNDDOWN(IF(N5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324</v>
      </c>
      <c r="B6" s="113">
        <f t="shared" ref="B6:B69" si="4">B5+A6</f>
        <v>564</v>
      </c>
      <c r="C6" s="118">
        <f t="shared" si="0"/>
        <v>5.73</v>
      </c>
      <c r="D6" s="40" t="s">
        <v>0</v>
      </c>
      <c r="E6" s="56">
        <f>IF(H5="AFIII",VLOOKUP($D6,Sheet1!$A$34:$K$48,5,FALSE),IF(H5="UBIII",VLOOKUP($D6,Sheet1!$A$34:$K$48,8,FALSE),VLOOKUP($D6,Sheet1!$A$34:$K$48,2,FALSE)))</f>
        <v>2.39</v>
      </c>
      <c r="F6" s="56">
        <f>ROUNDDOWN((IF(H5="AFIII",VLOOKUP($D6,Sheet1!$A$34:$K$48,5,FALSE),IF(H5="UBIII",VLOOKUP($D6,Sheet1!$A$34:$K$48,8,FALSE),VLOOKUP($D6,Sheet1!$A$34:$K$48,2,FALSE))))*0.85,2)</f>
        <v>2.0299999999999998</v>
      </c>
      <c r="G6" s="56">
        <f t="shared" ref="G6:G69" si="5">IF(M5="迅速",IF(S5="黒魔紋",$F$1,$E$1),IF(S5="黒魔紋",IF(F6&lt;$F$1,$F$1,F6),IF(E6&lt;$E$1,$E$1,E6)))</f>
        <v>2.39</v>
      </c>
      <c r="H6" s="61" t="s">
        <v>84</v>
      </c>
      <c r="I6" s="56">
        <v>10</v>
      </c>
      <c r="V6" s="130">
        <f>IF(H5="AFIII",VLOOKUP(D6,Sheet1!$A$4:$H$18,5,FALSE),IF(H5="UBIII",VLOOKUP(D6,Sheet1!$A$4:$H$18,8,FALSE),IF(H5="",VLOOKUP(D6,Sheet1!$A$4:$H$18,2,FALSE),"0")))</f>
        <v>2120</v>
      </c>
      <c r="W6" s="130">
        <f t="shared" ref="W6:W69" si="6">IF(H5="UBIII",$X$2,0)</f>
        <v>0</v>
      </c>
      <c r="X6" s="48">
        <f t="shared" si="1"/>
        <v>7618</v>
      </c>
      <c r="Y6" s="136" t="str">
        <f t="shared" si="2"/>
        <v>SUCCESS</v>
      </c>
      <c r="Z6" s="136" t="str">
        <f t="shared" si="3"/>
        <v>ERROR</v>
      </c>
      <c r="AA6" s="141">
        <f t="shared" ref="AA6:AA69" si="7">B6/C6</f>
        <v>98.429319371727743</v>
      </c>
    </row>
    <row r="7" spans="1:27">
      <c r="A7" s="112">
        <f>ROUNDDOWN(IF(N6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324</v>
      </c>
      <c r="B7" s="113">
        <f t="shared" si="4"/>
        <v>888</v>
      </c>
      <c r="C7" s="118">
        <f t="shared" si="0"/>
        <v>8.120000000000001</v>
      </c>
      <c r="D7" s="40" t="s">
        <v>0</v>
      </c>
      <c r="E7" s="56">
        <f>IF(H6="AFIII",VLOOKUP($D7,Sheet1!$A$34:$K$48,5,FALSE),IF(H6="UBIII",VLOOKUP($D7,Sheet1!$A$34:$K$48,8,FALSE),VLOOKUP($D7,Sheet1!$A$34:$K$48,2,FALSE)))</f>
        <v>2.39</v>
      </c>
      <c r="F7" s="56">
        <f>ROUNDDOWN((IF(H6="AFIII",VLOOKUP($D7,Sheet1!$A$34:$K$48,5,FALSE),IF(H6="UBIII",VLOOKUP($D7,Sheet1!$A$34:$K$48,8,FALSE),VLOOKUP($D7,Sheet1!$A$34:$K$48,2,FALSE))))*0.85,2)</f>
        <v>2.0299999999999998</v>
      </c>
      <c r="G7" s="56">
        <f t="shared" si="5"/>
        <v>2.39</v>
      </c>
      <c r="H7" s="61" t="s">
        <v>84</v>
      </c>
      <c r="I7" s="56">
        <v>10</v>
      </c>
      <c r="V7" s="130">
        <f>IF(H6="AFIII",VLOOKUP(D7,Sheet1!$A$4:$H$18,5,FALSE),IF(H6="UBIII",VLOOKUP(D7,Sheet1!$A$4:$H$18,8,FALSE),IF(H6="",VLOOKUP(D7,Sheet1!$A$4:$H$18,2,FALSE),"0")))</f>
        <v>2120</v>
      </c>
      <c r="W7" s="130">
        <f t="shared" si="6"/>
        <v>0</v>
      </c>
      <c r="X7" s="48">
        <f t="shared" si="1"/>
        <v>5498</v>
      </c>
      <c r="Y7" s="136" t="str">
        <f t="shared" si="2"/>
        <v>SUCCESS</v>
      </c>
      <c r="Z7" s="136" t="str">
        <f t="shared" si="3"/>
        <v>ERROR</v>
      </c>
      <c r="AA7" s="141">
        <f t="shared" si="7"/>
        <v>109.35960591133004</v>
      </c>
    </row>
    <row r="8" spans="1:27">
      <c r="A8" s="112">
        <f>ROUNDDOWN(IF(N7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324</v>
      </c>
      <c r="B8" s="113">
        <f t="shared" si="4"/>
        <v>1212</v>
      </c>
      <c r="C8" s="118">
        <f t="shared" si="0"/>
        <v>10.510000000000002</v>
      </c>
      <c r="D8" s="40" t="s">
        <v>0</v>
      </c>
      <c r="E8" s="56">
        <f>IF(H7="AFIII",VLOOKUP($D8,Sheet1!$A$34:$K$48,5,FALSE),IF(H7="UBIII",VLOOKUP($D8,Sheet1!$A$34:$K$48,8,FALSE),VLOOKUP($D8,Sheet1!$A$34:$K$48,2,FALSE)))</f>
        <v>2.39</v>
      </c>
      <c r="F8" s="56">
        <f>ROUNDDOWN((IF(H7="AFIII",VLOOKUP($D8,Sheet1!$A$34:$K$48,5,FALSE),IF(H7="UBIII",VLOOKUP($D8,Sheet1!$A$34:$K$48,8,FALSE),VLOOKUP($D8,Sheet1!$A$34:$K$48,2,FALSE))))*0.85,2)</f>
        <v>2.0299999999999998</v>
      </c>
      <c r="G8" s="56">
        <f t="shared" si="5"/>
        <v>2.39</v>
      </c>
      <c r="H8" s="61" t="s">
        <v>84</v>
      </c>
      <c r="I8" s="56">
        <v>10</v>
      </c>
      <c r="V8" s="130">
        <f>IF(H7="AFIII",VLOOKUP(D8,Sheet1!$A$4:$H$18,5,FALSE),IF(H7="UBIII",VLOOKUP(D8,Sheet1!$A$4:$H$18,8,FALSE),IF(H7="",VLOOKUP(D8,Sheet1!$A$4:$H$18,2,FALSE),"0")))</f>
        <v>2120</v>
      </c>
      <c r="W8" s="130">
        <f t="shared" si="6"/>
        <v>0</v>
      </c>
      <c r="X8" s="48">
        <f t="shared" si="1"/>
        <v>3378</v>
      </c>
      <c r="Y8" s="136" t="str">
        <f t="shared" si="2"/>
        <v>SUCCESS</v>
      </c>
      <c r="Z8" s="136" t="str">
        <f t="shared" si="3"/>
        <v>ERROR</v>
      </c>
      <c r="AA8" s="141">
        <f t="shared" si="7"/>
        <v>115.31874405328257</v>
      </c>
    </row>
    <row r="9" spans="1:27">
      <c r="A9" s="112">
        <f>ROUNDDOWN(IF(N8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168</v>
      </c>
      <c r="B9" s="113">
        <f t="shared" si="4"/>
        <v>1380</v>
      </c>
      <c r="C9" s="118">
        <f t="shared" si="0"/>
        <v>12.900000000000002</v>
      </c>
      <c r="D9" s="40" t="s">
        <v>12</v>
      </c>
      <c r="E9" s="56">
        <f>IF(H8="AFIII",VLOOKUP($D9,Sheet1!$A$34:$K$48,5,FALSE),IF(H8="UBIII",VLOOKUP($D9,Sheet1!$A$34:$K$48,8,FALSE),VLOOKUP($D9,Sheet1!$A$34:$K$48,2,FALSE)))</f>
        <v>1.67</v>
      </c>
      <c r="F9" s="56">
        <f>ROUNDDOWN((IF(H8="AFIII",VLOOKUP($D9,Sheet1!$A$34:$K$48,5,FALSE),IF(H8="UBIII",VLOOKUP($D9,Sheet1!$A$34:$K$48,8,FALSE),VLOOKUP($D9,Sheet1!$A$34:$K$48,2,FALSE))))*0.85,2)</f>
        <v>1.41</v>
      </c>
      <c r="G9" s="56">
        <f t="shared" si="5"/>
        <v>2.39</v>
      </c>
      <c r="H9" s="61" t="s">
        <v>122</v>
      </c>
      <c r="I9" s="56">
        <v>10</v>
      </c>
      <c r="V9" s="130">
        <f>IF(H8="AFIII",VLOOKUP(D9,Sheet1!$A$4:$H$18,5,FALSE),IF(H8="UBIII",VLOOKUP(D9,Sheet1!$A$4:$H$18,8,FALSE),IF(H8="",VLOOKUP(D9,Sheet1!$A$4:$H$18,2,FALSE),"0")))</f>
        <v>265</v>
      </c>
      <c r="W9" s="130">
        <f t="shared" si="6"/>
        <v>0</v>
      </c>
      <c r="X9" s="48">
        <f t="shared" si="1"/>
        <v>3113</v>
      </c>
      <c r="Y9" s="136" t="str">
        <f t="shared" si="2"/>
        <v>SUCCESS</v>
      </c>
      <c r="Z9" s="136" t="str">
        <f t="shared" si="3"/>
        <v>ERROR</v>
      </c>
      <c r="AA9" s="141">
        <f t="shared" si="7"/>
        <v>106.97674418604649</v>
      </c>
    </row>
    <row r="10" spans="1:27">
      <c r="A10" s="119">
        <f>ROUNDDOWN(IF(N9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340</v>
      </c>
      <c r="B10" s="120">
        <f t="shared" si="4"/>
        <v>1720</v>
      </c>
      <c r="C10" s="121">
        <f t="shared" si="0"/>
        <v>16.240000000000002</v>
      </c>
      <c r="D10" s="106" t="s">
        <v>21</v>
      </c>
      <c r="E10" s="107">
        <f>IF(H9="AFIII",VLOOKUP($D10,Sheet1!$A$34:$K$48,5,FALSE),IF(H9="UBIII",VLOOKUP($D10,Sheet1!$A$34:$K$48,8,FALSE),VLOOKUP($D10,Sheet1!$A$34:$K$48,2,FALSE)))</f>
        <v>3.34</v>
      </c>
      <c r="F10" s="107">
        <f>ROUNDDOWN((IF(H9="AFIII",VLOOKUP($D10,Sheet1!$A$34:$K$48,5,FALSE),IF(H9="UBIII",VLOOKUP($D10,Sheet1!$A$34:$K$48,8,FALSE),VLOOKUP($D10,Sheet1!$A$34:$K$48,2,FALSE))))*0.85,2)</f>
        <v>2.83</v>
      </c>
      <c r="G10" s="107">
        <f t="shared" si="5"/>
        <v>3.34</v>
      </c>
      <c r="H10" s="108" t="s">
        <v>122</v>
      </c>
      <c r="I10" s="107">
        <v>10</v>
      </c>
      <c r="J10" s="108"/>
      <c r="K10" s="107"/>
      <c r="L10" s="107"/>
      <c r="M10" s="108"/>
      <c r="N10" s="107"/>
      <c r="O10" s="107"/>
      <c r="P10" s="108" t="s">
        <v>17</v>
      </c>
      <c r="Q10" s="107">
        <v>24</v>
      </c>
      <c r="R10" s="107"/>
      <c r="S10" s="108"/>
      <c r="T10" s="107"/>
      <c r="U10" s="109"/>
      <c r="V10" s="131">
        <f>IF(H9="AFIII",VLOOKUP(D10,Sheet1!$A$4:$H$18,5,FALSE),IF(H9="UBIII",VLOOKUP(D10,Sheet1!$A$4:$H$18,8,FALSE),IF(H9="",VLOOKUP(D10,Sheet1!$A$4:$H$18,2,FALSE),"0")))</f>
        <v>1414</v>
      </c>
      <c r="W10" s="131">
        <f t="shared" si="6"/>
        <v>7033</v>
      </c>
      <c r="X10" s="110">
        <f t="shared" si="1"/>
        <v>8732</v>
      </c>
      <c r="Y10" s="139" t="str">
        <f t="shared" si="2"/>
        <v>SUCCESS</v>
      </c>
      <c r="Z10" s="139" t="str">
        <f t="shared" si="3"/>
        <v>ERROR</v>
      </c>
      <c r="AA10" s="141">
        <f t="shared" si="7"/>
        <v>105.91133004926107</v>
      </c>
    </row>
    <row r="11" spans="1:27">
      <c r="A11" s="112">
        <f>ROUNDDOWN(IF(N10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168</v>
      </c>
      <c r="B11" s="113">
        <f t="shared" si="4"/>
        <v>1888</v>
      </c>
      <c r="C11" s="118">
        <f t="shared" si="0"/>
        <v>18.630000000000003</v>
      </c>
      <c r="D11" s="40" t="s">
        <v>4</v>
      </c>
      <c r="E11" s="56">
        <f>IF(H10="AFIII",VLOOKUP($D11,Sheet1!$A$34:$K$48,5,FALSE),IF(H10="UBIII",VLOOKUP($D11,Sheet1!$A$34:$K$48,8,FALSE),VLOOKUP($D11,Sheet1!$A$34:$K$48,2,FALSE)))</f>
        <v>1.67</v>
      </c>
      <c r="F11" s="56">
        <f>ROUNDDOWN((IF(H10="AFIII",VLOOKUP($D11,Sheet1!$A$34:$K$48,5,FALSE),IF(H10="UBIII",VLOOKUP($D11,Sheet1!$A$34:$K$48,8,FALSE),VLOOKUP($D11,Sheet1!$A$34:$K$48,2,FALSE))))*0.85,2)</f>
        <v>1.41</v>
      </c>
      <c r="G11" s="56">
        <f t="shared" si="5"/>
        <v>2.39</v>
      </c>
      <c r="H11" s="61" t="s">
        <v>84</v>
      </c>
      <c r="I11" s="56">
        <v>10</v>
      </c>
      <c r="J11" s="61" t="s">
        <v>105</v>
      </c>
      <c r="K11" s="56">
        <v>30</v>
      </c>
      <c r="L11" s="56">
        <v>90</v>
      </c>
      <c r="M11" s="61" t="s">
        <v>96</v>
      </c>
      <c r="N11" s="56">
        <v>20</v>
      </c>
      <c r="O11" s="56">
        <v>180</v>
      </c>
      <c r="Q11" s="56">
        <f>Q10-G11</f>
        <v>21.61</v>
      </c>
      <c r="V11" s="130">
        <f>IF(H10="AFIII",VLOOKUP(D11,Sheet1!$A$4:$H$18,5,FALSE),IF(H10="UBIII",VLOOKUP(D11,Sheet1!$A$4:$H$18,8,FALSE),IF(H10="",VLOOKUP(D11,Sheet1!$A$4:$H$18,2,FALSE),"0")))</f>
        <v>442</v>
      </c>
      <c r="W11" s="130">
        <f t="shared" si="6"/>
        <v>7033</v>
      </c>
      <c r="X11" s="48">
        <f t="shared" si="1"/>
        <v>11064</v>
      </c>
      <c r="Y11" s="136" t="str">
        <f t="shared" si="2"/>
        <v>SUCCESS</v>
      </c>
      <c r="Z11" s="136" t="str">
        <f t="shared" si="3"/>
        <v>ERROR</v>
      </c>
      <c r="AA11" s="141">
        <f t="shared" si="7"/>
        <v>101.34192163177669</v>
      </c>
    </row>
    <row r="12" spans="1:27">
      <c r="A12" s="112">
        <f>ROUNDDOWN(IF(N11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604</v>
      </c>
      <c r="B12" s="113">
        <f t="shared" si="4"/>
        <v>2492</v>
      </c>
      <c r="C12" s="118">
        <f t="shared" si="0"/>
        <v>21.490000000000002</v>
      </c>
      <c r="D12" s="40" t="s">
        <v>6</v>
      </c>
      <c r="E12" s="56">
        <f>IF(H11="AFIII",VLOOKUP($D12,Sheet1!$A$34:$K$48,5,FALSE),IF(H11="UBIII",VLOOKUP($D12,Sheet1!$A$34:$K$48,8,FALSE),VLOOKUP($D12,Sheet1!$A$34:$K$48,2,FALSE)))</f>
        <v>2.86</v>
      </c>
      <c r="F12" s="56">
        <f>ROUNDDOWN((IF(H11="AFIII",VLOOKUP($D12,Sheet1!$A$34:$K$48,5,FALSE),IF(H11="UBIII",VLOOKUP($D12,Sheet1!$A$34:$K$48,8,FALSE),VLOOKUP($D12,Sheet1!$A$34:$K$48,2,FALSE))))*0.85,2)</f>
        <v>2.4300000000000002</v>
      </c>
      <c r="G12" s="56">
        <f>IF(M11="迅速",IF(S11="黒魔紋",$F$1,$E$1),IF(S11="黒魔紋",IF(F12&lt;$F$1,$F$1,F12),IF(E12&lt;$E$1,$E$1,E12)))</f>
        <v>2.86</v>
      </c>
      <c r="H12" s="61" t="s">
        <v>84</v>
      </c>
      <c r="I12" s="56">
        <f>I11-G12</f>
        <v>7.1400000000000006</v>
      </c>
      <c r="K12" s="56">
        <f>K11-G12</f>
        <v>27.14</v>
      </c>
      <c r="L12" s="56">
        <f>L11-G12</f>
        <v>87.14</v>
      </c>
      <c r="N12" s="56">
        <f>N11-G12</f>
        <v>17.14</v>
      </c>
      <c r="Q12" s="56">
        <f t="shared" ref="Q12:Q20" si="8">Q11-G12</f>
        <v>18.75</v>
      </c>
      <c r="S12" s="61" t="s">
        <v>87</v>
      </c>
      <c r="T12" s="56">
        <v>30</v>
      </c>
      <c r="U12" s="71">
        <v>90</v>
      </c>
      <c r="V12" s="130">
        <f>IF(H11="AFIII",VLOOKUP(D12,Sheet1!$A$4:$H$18,5,FALSE),IF(H11="UBIII",VLOOKUP(D12,Sheet1!$A$4:$H$18,8,FALSE),IF(H11="",VLOOKUP(D12,Sheet1!$A$4:$H$18,2,FALSE),"0")))</f>
        <v>1768</v>
      </c>
      <c r="W12" s="130">
        <f t="shared" si="6"/>
        <v>0</v>
      </c>
      <c r="X12" s="48">
        <f t="shared" si="1"/>
        <v>9296</v>
      </c>
      <c r="Y12" s="136" t="str">
        <f t="shared" si="2"/>
        <v>SUCCESS</v>
      </c>
      <c r="Z12" s="136" t="str">
        <f t="shared" si="3"/>
        <v>SUCCESS</v>
      </c>
      <c r="AA12" s="141">
        <f t="shared" si="7"/>
        <v>115.96091205211725</v>
      </c>
    </row>
    <row r="13" spans="1:27">
      <c r="A13" s="112">
        <f>ROUNDDOWN(IF(N12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4"/>
        <v>3096</v>
      </c>
      <c r="C13" s="118">
        <f t="shared" si="0"/>
        <v>23.92</v>
      </c>
      <c r="D13" s="40" t="s">
        <v>6</v>
      </c>
      <c r="E13" s="56">
        <f>IF(H12="AFIII",VLOOKUP($D13,Sheet1!$A$34:$K$48,5,FALSE),IF(H12="UBIII",VLOOKUP($D13,Sheet1!$A$34:$K$48,8,FALSE),VLOOKUP($D13,Sheet1!$A$34:$K$48,2,FALSE)))</f>
        <v>2.86</v>
      </c>
      <c r="F13" s="56">
        <f>ROUNDDOWN((IF(H12="AFIII",VLOOKUP($D13,Sheet1!$A$34:$K$48,5,FALSE),IF(H12="UBIII",VLOOKUP($D13,Sheet1!$A$34:$K$48,8,FALSE),VLOOKUP($D13,Sheet1!$A$34:$K$48,2,FALSE))))*0.85,2)</f>
        <v>2.4300000000000002</v>
      </c>
      <c r="G13" s="56">
        <f t="shared" si="5"/>
        <v>2.4300000000000002</v>
      </c>
      <c r="H13" s="61" t="s">
        <v>84</v>
      </c>
      <c r="I13" s="56">
        <f t="shared" ref="I13" si="9">I12-G13</f>
        <v>4.7100000000000009</v>
      </c>
      <c r="K13" s="56">
        <f t="shared" ref="K13:K21" si="10">K12-G13</f>
        <v>24.71</v>
      </c>
      <c r="L13" s="56">
        <f t="shared" ref="L13:L46" si="11">L12-G13</f>
        <v>84.71</v>
      </c>
      <c r="N13" s="56">
        <f>N12-G13</f>
        <v>14.71</v>
      </c>
      <c r="Q13" s="56">
        <f t="shared" si="8"/>
        <v>16.32</v>
      </c>
      <c r="S13" s="61" t="s">
        <v>87</v>
      </c>
      <c r="T13" s="56">
        <f>T12-G13</f>
        <v>27.57</v>
      </c>
      <c r="U13" s="71">
        <f>U12-G13</f>
        <v>87.57</v>
      </c>
      <c r="V13" s="130">
        <f>IF(H12="AFIII",VLOOKUP(D13,Sheet1!$A$4:$H$18,5,FALSE),IF(H12="UBIII",VLOOKUP(D13,Sheet1!$A$4:$H$18,8,FALSE),IF(H12="",VLOOKUP(D13,Sheet1!$A$4:$H$18,2,FALSE),"0")))</f>
        <v>1768</v>
      </c>
      <c r="W13" s="130">
        <f t="shared" si="6"/>
        <v>0</v>
      </c>
      <c r="X13" s="48">
        <f t="shared" si="1"/>
        <v>7528</v>
      </c>
      <c r="Y13" s="136" t="str">
        <f t="shared" si="2"/>
        <v>SUCCESS</v>
      </c>
      <c r="Z13" s="136" t="str">
        <f t="shared" si="3"/>
        <v>SUCCESS</v>
      </c>
      <c r="AA13" s="141">
        <f t="shared" si="7"/>
        <v>129.4314381270903</v>
      </c>
    </row>
    <row r="14" spans="1:27">
      <c r="A14" s="112">
        <f>ROUNDDOWN(IF(N13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388</v>
      </c>
      <c r="B14" s="113">
        <f t="shared" si="4"/>
        <v>3484</v>
      </c>
      <c r="C14" s="118">
        <f t="shared" si="0"/>
        <v>25.950000000000003</v>
      </c>
      <c r="D14" s="40" t="s">
        <v>0</v>
      </c>
      <c r="E14" s="56">
        <f>IF(H13="AFIII",VLOOKUP($D14,Sheet1!$A$34:$K$48,5,FALSE),IF(H13="UBIII",VLOOKUP($D14,Sheet1!$A$34:$K$48,8,FALSE),VLOOKUP($D14,Sheet1!$A$34:$K$48,2,FALSE)))</f>
        <v>2.39</v>
      </c>
      <c r="F14" s="56">
        <f>ROUNDDOWN((IF(H13="AFIII",VLOOKUP($D14,Sheet1!$A$34:$K$48,5,FALSE),IF(H13="UBIII",VLOOKUP($D14,Sheet1!$A$34:$K$48,8,FALSE),VLOOKUP($D14,Sheet1!$A$34:$K$48,2,FALSE))))*0.85,2)</f>
        <v>2.0299999999999998</v>
      </c>
      <c r="G14" s="56">
        <f t="shared" si="5"/>
        <v>2.0299999999999998</v>
      </c>
      <c r="H14" s="61" t="s">
        <v>84</v>
      </c>
      <c r="I14" s="56">
        <v>10</v>
      </c>
      <c r="K14" s="56">
        <f t="shared" si="10"/>
        <v>22.68</v>
      </c>
      <c r="L14" s="56">
        <f t="shared" si="11"/>
        <v>82.679999999999993</v>
      </c>
      <c r="N14" s="56">
        <f t="shared" ref="N14" si="12">N13-G14</f>
        <v>12.680000000000001</v>
      </c>
      <c r="Q14" s="56">
        <f t="shared" si="8"/>
        <v>14.290000000000001</v>
      </c>
      <c r="S14" s="61" t="s">
        <v>87</v>
      </c>
      <c r="T14" s="56">
        <f t="shared" ref="T14:T22" si="13">T13-G14</f>
        <v>25.54</v>
      </c>
      <c r="U14" s="71">
        <f t="shared" ref="U14:U22" si="14">U13-G14</f>
        <v>85.539999999999992</v>
      </c>
      <c r="V14" s="130">
        <f>IF(H13="AFIII",VLOOKUP(D14,Sheet1!$A$4:$H$18,5,FALSE),IF(H13="UBIII",VLOOKUP(D14,Sheet1!$A$4:$H$18,8,FALSE),IF(H13="",VLOOKUP(D14,Sheet1!$A$4:$H$18,2,FALSE),"0")))</f>
        <v>2120</v>
      </c>
      <c r="W14" s="130">
        <f t="shared" si="6"/>
        <v>0</v>
      </c>
      <c r="X14" s="48">
        <f t="shared" si="1"/>
        <v>5408</v>
      </c>
      <c r="Y14" s="136" t="str">
        <f t="shared" si="2"/>
        <v>SUCCESS</v>
      </c>
      <c r="Z14" s="136" t="str">
        <f t="shared" si="3"/>
        <v>SUCCESS</v>
      </c>
      <c r="AA14" s="141">
        <f t="shared" si="7"/>
        <v>134.2581888246628</v>
      </c>
    </row>
    <row r="15" spans="1:27">
      <c r="A15" s="112">
        <f>ROUNDDOWN(IF(N14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604</v>
      </c>
      <c r="B15" s="113">
        <f t="shared" si="4"/>
        <v>4088</v>
      </c>
      <c r="C15" s="118">
        <f t="shared" si="0"/>
        <v>28.380000000000003</v>
      </c>
      <c r="D15" s="40" t="s">
        <v>6</v>
      </c>
      <c r="E15" s="56">
        <f>IF(H14="AFIII",VLOOKUP($D15,Sheet1!$A$34:$K$48,5,FALSE),IF(H14="UBIII",VLOOKUP($D15,Sheet1!$A$34:$K$48,8,FALSE),VLOOKUP($D15,Sheet1!$A$34:$K$48,2,FALSE)))</f>
        <v>2.86</v>
      </c>
      <c r="F15" s="56">
        <f>ROUNDDOWN((IF(H14="AFIII",VLOOKUP($D15,Sheet1!$A$34:$K$48,5,FALSE),IF(H14="UBIII",VLOOKUP($D15,Sheet1!$A$34:$K$48,8,FALSE),VLOOKUP($D15,Sheet1!$A$34:$K$48,2,FALSE))))*0.85,2)</f>
        <v>2.4300000000000002</v>
      </c>
      <c r="G15" s="56">
        <f t="shared" si="5"/>
        <v>2.4300000000000002</v>
      </c>
      <c r="H15" s="61" t="s">
        <v>84</v>
      </c>
      <c r="I15" s="56">
        <f>I14-G15</f>
        <v>7.57</v>
      </c>
      <c r="K15" s="56">
        <f>K14-G15</f>
        <v>20.25</v>
      </c>
      <c r="L15" s="56">
        <f>L14-G15</f>
        <v>80.249999999999986</v>
      </c>
      <c r="N15" s="56">
        <f>N14-G15</f>
        <v>10.250000000000002</v>
      </c>
      <c r="Q15" s="56">
        <f t="shared" si="8"/>
        <v>11.860000000000001</v>
      </c>
      <c r="S15" s="61" t="s">
        <v>87</v>
      </c>
      <c r="T15" s="56">
        <f t="shared" si="13"/>
        <v>23.11</v>
      </c>
      <c r="U15" s="71">
        <f t="shared" si="14"/>
        <v>83.109999999999985</v>
      </c>
      <c r="V15" s="130">
        <f>IF(H14="AFIII",VLOOKUP(D15,Sheet1!$A$4:$H$18,5,FALSE),IF(H14="UBIII",VLOOKUP(D15,Sheet1!$A$4:$H$18,8,FALSE),IF(H14="",VLOOKUP(D15,Sheet1!$A$4:$H$18,2,FALSE),"0")))</f>
        <v>1768</v>
      </c>
      <c r="W15" s="130">
        <f t="shared" si="6"/>
        <v>0</v>
      </c>
      <c r="X15" s="48">
        <f t="shared" si="1"/>
        <v>3640</v>
      </c>
      <c r="Y15" s="136" t="str">
        <f t="shared" si="2"/>
        <v>SUCCESS</v>
      </c>
      <c r="Z15" s="136" t="str">
        <f t="shared" si="3"/>
        <v>SUCCESS</v>
      </c>
      <c r="AA15" s="141">
        <f t="shared" si="7"/>
        <v>144.04510218463705</v>
      </c>
    </row>
    <row r="16" spans="1:27">
      <c r="A16" s="112">
        <f>ROUNDDOWN(IF(N15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604</v>
      </c>
      <c r="B16" s="113">
        <f t="shared" si="4"/>
        <v>4692</v>
      </c>
      <c r="C16" s="118">
        <f t="shared" si="0"/>
        <v>30.810000000000002</v>
      </c>
      <c r="D16" s="40" t="s">
        <v>6</v>
      </c>
      <c r="E16" s="56">
        <f>IF(H15="AFIII",VLOOKUP($D16,Sheet1!$A$34:$K$48,5,FALSE),IF(H15="UBIII",VLOOKUP($D16,Sheet1!$A$34:$K$48,8,FALSE),VLOOKUP($D16,Sheet1!$A$34:$K$48,2,FALSE)))</f>
        <v>2.86</v>
      </c>
      <c r="F16" s="56">
        <f>ROUNDDOWN((IF(H15="AFIII",VLOOKUP($D16,Sheet1!$A$34:$K$48,5,FALSE),IF(H15="UBIII",VLOOKUP($D16,Sheet1!$A$34:$K$48,8,FALSE),VLOOKUP($D16,Sheet1!$A$34:$K$48,2,FALSE))))*0.85,2)</f>
        <v>2.4300000000000002</v>
      </c>
      <c r="G16" s="56">
        <f t="shared" si="5"/>
        <v>2.4300000000000002</v>
      </c>
      <c r="H16" s="61" t="s">
        <v>84</v>
      </c>
      <c r="I16" s="56">
        <f>I15-G16</f>
        <v>5.1400000000000006</v>
      </c>
      <c r="K16" s="56">
        <f t="shared" si="10"/>
        <v>17.82</v>
      </c>
      <c r="L16" s="56">
        <f t="shared" si="11"/>
        <v>77.819999999999979</v>
      </c>
      <c r="M16" s="61" t="s">
        <v>102</v>
      </c>
      <c r="N16" s="56">
        <v>10</v>
      </c>
      <c r="O16" s="56">
        <v>60</v>
      </c>
      <c r="Q16" s="56">
        <f t="shared" si="8"/>
        <v>9.4300000000000015</v>
      </c>
      <c r="S16" s="61" t="s">
        <v>87</v>
      </c>
      <c r="T16" s="56">
        <f t="shared" si="13"/>
        <v>20.68</v>
      </c>
      <c r="U16" s="71">
        <f t="shared" si="14"/>
        <v>80.679999999999978</v>
      </c>
      <c r="V16" s="130">
        <f>IF(H15="AFIII",VLOOKUP(D16,Sheet1!$A$4:$H$18,5,FALSE),IF(H15="UBIII",VLOOKUP(D16,Sheet1!$A$4:$H$18,8,FALSE),IF(H15="",VLOOKUP(D16,Sheet1!$A$4:$H$18,2,FALSE),"0")))</f>
        <v>1768</v>
      </c>
      <c r="W16" s="130">
        <f t="shared" si="6"/>
        <v>0</v>
      </c>
      <c r="X16" s="48">
        <f t="shared" si="1"/>
        <v>1872</v>
      </c>
      <c r="Y16" s="136" t="str">
        <f t="shared" si="2"/>
        <v>SUCCESS</v>
      </c>
      <c r="Z16" s="136" t="str">
        <f t="shared" si="3"/>
        <v>SUCCESS</v>
      </c>
      <c r="AA16" s="141">
        <f t="shared" si="7"/>
        <v>152.28821811100292</v>
      </c>
    </row>
    <row r="17" spans="1:27">
      <c r="A17" s="112">
        <f>ROUNDDOWN(IF(N16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561</v>
      </c>
      <c r="B17" s="113">
        <f t="shared" si="4"/>
        <v>5253</v>
      </c>
      <c r="C17" s="118">
        <f t="shared" si="0"/>
        <v>32.840000000000003</v>
      </c>
      <c r="D17" s="40" t="s">
        <v>10</v>
      </c>
      <c r="E17" s="56">
        <f>IF(H16="AFIII",VLOOKUP($D17,Sheet1!$A$34:$K$48,5,FALSE),IF(H16="UBIII",VLOOKUP($D17,Sheet1!$A$34:$K$48,8,FALSE),VLOOKUP($D17,Sheet1!$A$34:$K$48,2,FALSE)))</f>
        <v>3.82</v>
      </c>
      <c r="F17" s="56">
        <f>ROUNDDOWN((IF(H16="AFIII",VLOOKUP($D17,Sheet1!$A$34:$K$48,5,FALSE),IF(H16="UBIII",VLOOKUP($D17,Sheet1!$A$34:$K$48,8,FALSE),VLOOKUP($D17,Sheet1!$A$34:$K$48,2,FALSE))))*0.85,2)</f>
        <v>3.24</v>
      </c>
      <c r="G17" s="56">
        <f t="shared" si="5"/>
        <v>2.0299999999999998</v>
      </c>
      <c r="H17" s="61" t="s">
        <v>84</v>
      </c>
      <c r="I17" s="56">
        <v>10</v>
      </c>
      <c r="K17" s="56">
        <f t="shared" si="10"/>
        <v>15.790000000000001</v>
      </c>
      <c r="L17" s="56">
        <f t="shared" si="11"/>
        <v>75.789999999999978</v>
      </c>
      <c r="M17" s="61" t="s">
        <v>100</v>
      </c>
      <c r="N17" s="56">
        <v>0</v>
      </c>
      <c r="O17" s="56">
        <v>180</v>
      </c>
      <c r="P17" s="61" t="s">
        <v>133</v>
      </c>
      <c r="Q17" s="56">
        <f t="shared" si="8"/>
        <v>7.4000000000000021</v>
      </c>
      <c r="R17" s="56">
        <v>60</v>
      </c>
      <c r="S17" s="61" t="s">
        <v>87</v>
      </c>
      <c r="T17" s="56">
        <f t="shared" si="13"/>
        <v>18.649999999999999</v>
      </c>
      <c r="U17" s="71">
        <f t="shared" si="14"/>
        <v>78.649999999999977</v>
      </c>
      <c r="V17" s="130">
        <f>IF(H16="AFIII",VLOOKUP(D17,Sheet1!$A$4:$H$18,5,FALSE),IF(H16="UBIII",VLOOKUP(D17,Sheet1!$A$4:$H$18,8,FALSE),IF(H16="",VLOOKUP(D17,Sheet1!$A$4:$H$18,2,FALSE),"0")))</f>
        <v>884</v>
      </c>
      <c r="W17" s="130">
        <f t="shared" si="6"/>
        <v>0</v>
      </c>
      <c r="X17" s="48">
        <f t="shared" si="1"/>
        <v>3451</v>
      </c>
      <c r="Y17" s="136" t="str">
        <f t="shared" si="2"/>
        <v>SUCCESS</v>
      </c>
      <c r="Z17" s="136" t="str">
        <f t="shared" si="3"/>
        <v>SUCCESS</v>
      </c>
      <c r="AA17" s="141">
        <f t="shared" si="7"/>
        <v>159.95736906211934</v>
      </c>
    </row>
    <row r="18" spans="1:27">
      <c r="A18" s="112">
        <f>ROUNDDOWN(IF(N17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324</v>
      </c>
      <c r="B18" s="113">
        <f t="shared" si="4"/>
        <v>5577</v>
      </c>
      <c r="C18" s="118">
        <f>C17+G18</f>
        <v>34.870000000000005</v>
      </c>
      <c r="D18" s="40" t="s">
        <v>1</v>
      </c>
      <c r="E18" s="56">
        <f>IF(H17="AFIII",VLOOKUP($D18,Sheet1!$A$34:$K$48,5,FALSE),IF(H17="UBIII",VLOOKUP($D18,Sheet1!$A$34:$K$48,8,FALSE),VLOOKUP($D18,Sheet1!$A$34:$K$48,2,FALSE)))</f>
        <v>2.39</v>
      </c>
      <c r="F18" s="56">
        <f>ROUNDDOWN((IF(H17="AFIII",VLOOKUP($D18,Sheet1!$A$34:$K$48,5,FALSE),IF(H17="UBIII",VLOOKUP($D18,Sheet1!$A$34:$K$48,8,FALSE),VLOOKUP($D18,Sheet1!$A$34:$K$48,2,FALSE))))*0.85,2)</f>
        <v>2.0299999999999998</v>
      </c>
      <c r="G18" s="56">
        <f t="shared" si="5"/>
        <v>2.0299999999999998</v>
      </c>
      <c r="H18" s="61" t="s">
        <v>84</v>
      </c>
      <c r="I18" s="56">
        <v>10</v>
      </c>
      <c r="K18" s="56">
        <f t="shared" si="10"/>
        <v>13.760000000000002</v>
      </c>
      <c r="L18" s="56">
        <f t="shared" si="11"/>
        <v>73.759999999999977</v>
      </c>
      <c r="N18" s="56">
        <f>N15-G16-G17-G18</f>
        <v>3.7600000000000029</v>
      </c>
      <c r="Q18" s="56">
        <f t="shared" si="8"/>
        <v>5.3700000000000028</v>
      </c>
      <c r="R18" s="56">
        <f>R17-G18</f>
        <v>57.97</v>
      </c>
      <c r="S18" s="61" t="s">
        <v>87</v>
      </c>
      <c r="T18" s="56">
        <f t="shared" si="13"/>
        <v>16.619999999999997</v>
      </c>
      <c r="U18" s="71">
        <f t="shared" si="14"/>
        <v>76.619999999999976</v>
      </c>
      <c r="V18" s="130">
        <f>IF(H17="AFIII",VLOOKUP(D18,Sheet1!$A$4:$H$18,5,FALSE),IF(H17="UBIII",VLOOKUP(D18,Sheet1!$A$4:$H$18,8,FALSE),IF(H17="",VLOOKUP(D18,Sheet1!$A$4:$H$18,2,FALSE),"0")))</f>
        <v>2120</v>
      </c>
      <c r="W18" s="130">
        <f t="shared" si="6"/>
        <v>0</v>
      </c>
      <c r="X18" s="48">
        <f t="shared" si="1"/>
        <v>1331</v>
      </c>
      <c r="Y18" s="136" t="str">
        <f t="shared" si="2"/>
        <v>SUCCESS</v>
      </c>
      <c r="Z18" s="136" t="str">
        <f t="shared" si="3"/>
        <v>SUCCESS</v>
      </c>
      <c r="AA18" s="141">
        <f t="shared" si="7"/>
        <v>159.93690851735013</v>
      </c>
    </row>
    <row r="19" spans="1:27">
      <c r="A19" s="112">
        <f>ROUNDDOWN(IF(N18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518</v>
      </c>
      <c r="B19" s="113">
        <f t="shared" si="4"/>
        <v>6095</v>
      </c>
      <c r="C19" s="118">
        <f t="shared" si="0"/>
        <v>36.900000000000006</v>
      </c>
      <c r="D19" s="40" t="s">
        <v>129</v>
      </c>
      <c r="E19" s="56">
        <f>IF(H18="AFIII",VLOOKUP($D19,Sheet1!$A$34:$K$48,5,FALSE),IF(H18="UBIII",VLOOKUP($D19,Sheet1!$A$34:$K$48,8,FALSE),VLOOKUP($D19,Sheet1!$A$34:$K$48,2,FALSE)))</f>
        <v>2.39</v>
      </c>
      <c r="F19" s="56">
        <f>ROUNDDOWN((IF(H18="AFIII",VLOOKUP($D19,Sheet1!$A$34:$K$48,5,FALSE),IF(H18="UBIII",VLOOKUP($D19,Sheet1!$A$34:$K$48,8,FALSE),VLOOKUP($D19,Sheet1!$A$34:$K$48,2,FALSE))))*0.85,2)</f>
        <v>2.0299999999999998</v>
      </c>
      <c r="G19" s="56">
        <f t="shared" si="5"/>
        <v>2.0299999999999998</v>
      </c>
      <c r="H19" s="61" t="s">
        <v>84</v>
      </c>
      <c r="I19" s="56">
        <v>10</v>
      </c>
      <c r="K19" s="56">
        <f t="shared" si="10"/>
        <v>11.730000000000002</v>
      </c>
      <c r="L19" s="56">
        <f t="shared" si="11"/>
        <v>71.729999999999976</v>
      </c>
      <c r="M19" s="61" t="s">
        <v>140</v>
      </c>
      <c r="N19" s="56">
        <f>N18-G19</f>
        <v>1.7300000000000031</v>
      </c>
      <c r="Q19" s="56">
        <f t="shared" si="8"/>
        <v>3.340000000000003</v>
      </c>
      <c r="R19" s="56">
        <f t="shared" ref="R19:R39" si="15">R18-G19</f>
        <v>55.94</v>
      </c>
      <c r="S19" s="61" t="s">
        <v>87</v>
      </c>
      <c r="T19" s="56">
        <f t="shared" si="13"/>
        <v>14.589999999999998</v>
      </c>
      <c r="U19" s="71">
        <f t="shared" si="14"/>
        <v>74.589999999999975</v>
      </c>
      <c r="V19" s="130">
        <f>IF(H18="AFIII",VLOOKUP(D19,Sheet1!$A$4:$H$18,5,FALSE),IF(H18="UBIII",VLOOKUP(D19,Sheet1!$A$4:$H$18,8,FALSE),IF(H18="",VLOOKUP(D19,Sheet1!$A$4:$H$18,2,FALSE),"0")))</f>
        <v>0</v>
      </c>
      <c r="W19" s="130">
        <f t="shared" si="6"/>
        <v>0</v>
      </c>
      <c r="X19" s="48">
        <f t="shared" si="1"/>
        <v>1331</v>
      </c>
      <c r="Y19" s="136" t="str">
        <f t="shared" si="2"/>
        <v>SUCCESS</v>
      </c>
      <c r="Z19" s="136" t="str">
        <f t="shared" si="3"/>
        <v>SUCCESS</v>
      </c>
      <c r="AA19" s="141">
        <f t="shared" si="7"/>
        <v>165.17615176151759</v>
      </c>
    </row>
    <row r="20" spans="1:27">
      <c r="A20" s="112">
        <f>ROUNDDOWN(IF(N19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201</v>
      </c>
      <c r="B20" s="113">
        <f t="shared" si="4"/>
        <v>6296</v>
      </c>
      <c r="C20" s="118">
        <f t="shared" si="0"/>
        <v>38.930000000000007</v>
      </c>
      <c r="D20" s="40" t="s">
        <v>12</v>
      </c>
      <c r="E20" s="56">
        <f>IF(H19="AFIII",VLOOKUP($D20,Sheet1!$A$34:$K$48,5,FALSE),IF(H19="UBIII",VLOOKUP($D20,Sheet1!$A$34:$K$48,8,FALSE),VLOOKUP($D20,Sheet1!$A$34:$K$48,2,FALSE)))</f>
        <v>1.67</v>
      </c>
      <c r="F20" s="56">
        <f>ROUNDDOWN((IF(H19="AFIII",VLOOKUP($D20,Sheet1!$A$34:$K$48,5,FALSE),IF(H19="UBIII",VLOOKUP($D20,Sheet1!$A$34:$K$48,8,FALSE),VLOOKUP($D20,Sheet1!$A$34:$K$48,2,FALSE))))*0.85,2)</f>
        <v>1.41</v>
      </c>
      <c r="G20" s="56">
        <f t="shared" si="5"/>
        <v>2.0299999999999998</v>
      </c>
      <c r="H20" s="61" t="s">
        <v>122</v>
      </c>
      <c r="I20" s="56">
        <v>10</v>
      </c>
      <c r="K20" s="56">
        <f t="shared" si="10"/>
        <v>9.7000000000000028</v>
      </c>
      <c r="L20" s="56">
        <f t="shared" si="11"/>
        <v>69.699999999999974</v>
      </c>
      <c r="N20" s="56">
        <f>N19-G20</f>
        <v>-0.29999999999999671</v>
      </c>
      <c r="O20" s="56">
        <f>O16-G17-G18-G20-G19</f>
        <v>51.879999999999995</v>
      </c>
      <c r="Q20" s="56">
        <f t="shared" si="8"/>
        <v>1.3100000000000032</v>
      </c>
      <c r="R20" s="56">
        <f t="shared" si="15"/>
        <v>53.91</v>
      </c>
      <c r="S20" s="61" t="s">
        <v>87</v>
      </c>
      <c r="T20" s="56">
        <f t="shared" si="13"/>
        <v>12.559999999999999</v>
      </c>
      <c r="U20" s="71">
        <f t="shared" si="14"/>
        <v>72.559999999999974</v>
      </c>
      <c r="V20" s="130">
        <f>IF(H19="AFIII",VLOOKUP(D20,Sheet1!$A$4:$H$18,5,FALSE),IF(H19="UBIII",VLOOKUP(D20,Sheet1!$A$4:$H$18,8,FALSE),IF(H19="",VLOOKUP(D20,Sheet1!$A$4:$H$18,2,FALSE),"0")))</f>
        <v>265</v>
      </c>
      <c r="W20" s="130">
        <f t="shared" si="6"/>
        <v>0</v>
      </c>
      <c r="X20" s="48">
        <f t="shared" si="1"/>
        <v>1066</v>
      </c>
      <c r="Y20" s="136" t="str">
        <f t="shared" si="2"/>
        <v>SUCCESS</v>
      </c>
      <c r="Z20" s="136" t="str">
        <f t="shared" si="3"/>
        <v>SUCCESS</v>
      </c>
      <c r="AA20" s="141">
        <f t="shared" si="7"/>
        <v>161.72617518623167</v>
      </c>
    </row>
    <row r="21" spans="1:27">
      <c r="A21" s="112">
        <f>ROUNDDOWN(IF(N20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295</v>
      </c>
      <c r="B21" s="113">
        <f t="shared" si="4"/>
        <v>6591</v>
      </c>
      <c r="C21" s="118">
        <f t="shared" si="0"/>
        <v>41.360000000000007</v>
      </c>
      <c r="D21" s="40" t="s">
        <v>19</v>
      </c>
      <c r="E21" s="56">
        <f>IF(H20="AFIII",VLOOKUP($D21,Sheet1!$A$34:$K$48,5,FALSE),IF(H20="UBIII",VLOOKUP($D21,Sheet1!$A$34:$K$48,8,FALSE),VLOOKUP($D21,Sheet1!$A$34:$K$48,2,FALSE)))</f>
        <v>2.86</v>
      </c>
      <c r="F21" s="56">
        <f>ROUNDDOWN((IF(H20="AFIII",VLOOKUP($D21,Sheet1!$A$34:$K$48,5,FALSE),IF(H20="UBIII",VLOOKUP($D21,Sheet1!$A$34:$K$48,8,FALSE),VLOOKUP($D21,Sheet1!$A$34:$K$48,2,FALSE))))*0.85,2)</f>
        <v>2.4300000000000002</v>
      </c>
      <c r="G21" s="56">
        <f t="shared" si="5"/>
        <v>2.4300000000000002</v>
      </c>
      <c r="H21" s="61" t="s">
        <v>122</v>
      </c>
      <c r="I21" s="56">
        <f>I20-G21</f>
        <v>7.57</v>
      </c>
      <c r="K21" s="56">
        <f t="shared" si="10"/>
        <v>7.2700000000000031</v>
      </c>
      <c r="L21" s="56">
        <f t="shared" si="11"/>
        <v>67.269999999999968</v>
      </c>
      <c r="O21" s="56">
        <f>O20-G21</f>
        <v>49.449999999999996</v>
      </c>
      <c r="P21" s="61" t="s">
        <v>17</v>
      </c>
      <c r="Q21" s="56">
        <v>21</v>
      </c>
      <c r="R21" s="56">
        <f t="shared" si="15"/>
        <v>51.48</v>
      </c>
      <c r="S21" s="61" t="s">
        <v>87</v>
      </c>
      <c r="T21" s="56">
        <f t="shared" si="13"/>
        <v>10.129999999999999</v>
      </c>
      <c r="U21" s="71">
        <f t="shared" si="14"/>
        <v>70.129999999999967</v>
      </c>
      <c r="V21" s="130">
        <f>IF(H20="AFIII",VLOOKUP(D21,Sheet1!$A$4:$H$18,5,FALSE),IF(H20="UBIII",VLOOKUP(D21,Sheet1!$A$4:$H$18,8,FALSE),IF(H20="",VLOOKUP(D21,Sheet1!$A$4:$H$18,2,FALSE),"0")))</f>
        <v>1060</v>
      </c>
      <c r="W21" s="130">
        <f t="shared" si="6"/>
        <v>7033</v>
      </c>
      <c r="X21" s="48">
        <f t="shared" si="1"/>
        <v>7039</v>
      </c>
      <c r="Y21" s="136" t="str">
        <f t="shared" si="2"/>
        <v>SUCCESS</v>
      </c>
      <c r="Z21" s="136" t="str">
        <f t="shared" si="3"/>
        <v>SUCCESS</v>
      </c>
      <c r="AA21" s="141">
        <f t="shared" si="7"/>
        <v>159.35686653771756</v>
      </c>
    </row>
    <row r="22" spans="1:27">
      <c r="A22" s="119">
        <f>ROUNDDOWN(IF(N21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280</v>
      </c>
      <c r="B22" s="120">
        <f t="shared" si="4"/>
        <v>6871</v>
      </c>
      <c r="C22" s="121">
        <f t="shared" si="0"/>
        <v>43.790000000000006</v>
      </c>
      <c r="D22" s="106" t="s">
        <v>14</v>
      </c>
      <c r="E22" s="107">
        <f>IF(H21="AFIII",VLOOKUP($D22,Sheet1!$A$34:$K$48,5,FALSE),IF(H21="UBIII",VLOOKUP($D22,Sheet1!$A$34:$K$48,8,FALSE),VLOOKUP($D22,Sheet1!$A$34:$K$48,2,FALSE)))</f>
        <v>2.86</v>
      </c>
      <c r="F22" s="107">
        <f>ROUNDDOWN((IF(H21="AFIII",VLOOKUP($D22,Sheet1!$A$34:$K$48,5,FALSE),IF(H21="UBIII",VLOOKUP($D22,Sheet1!$A$34:$K$48,8,FALSE),VLOOKUP($D22,Sheet1!$A$34:$K$48,2,FALSE))))*0.85,2)</f>
        <v>2.4300000000000002</v>
      </c>
      <c r="G22" s="107">
        <f t="shared" si="5"/>
        <v>2.4300000000000002</v>
      </c>
      <c r="H22" s="108" t="s">
        <v>122</v>
      </c>
      <c r="I22" s="107">
        <f t="shared" ref="I22" si="16">I21-G22</f>
        <v>5.1400000000000006</v>
      </c>
      <c r="J22" s="108"/>
      <c r="K22" s="107">
        <v>25</v>
      </c>
      <c r="L22" s="107">
        <f t="shared" si="11"/>
        <v>64.839999999999961</v>
      </c>
      <c r="M22" s="108"/>
      <c r="N22" s="107"/>
      <c r="O22" s="107">
        <f t="shared" ref="O22:O40" si="17">O21-G22</f>
        <v>47.019999999999996</v>
      </c>
      <c r="P22" s="108"/>
      <c r="Q22" s="107">
        <f>Q21-G22</f>
        <v>18.57</v>
      </c>
      <c r="R22" s="107">
        <f t="shared" si="15"/>
        <v>49.05</v>
      </c>
      <c r="S22" s="108" t="s">
        <v>87</v>
      </c>
      <c r="T22" s="107">
        <f t="shared" si="13"/>
        <v>7.6999999999999993</v>
      </c>
      <c r="U22" s="109">
        <f t="shared" si="14"/>
        <v>67.69999999999996</v>
      </c>
      <c r="V22" s="131">
        <f>IF(H21="AFIII",VLOOKUP(D22,Sheet1!$A$4:$H$18,5,FALSE),IF(H21="UBIII",VLOOKUP(D22,Sheet1!$A$4:$H$18,8,FALSE),IF(H21="",VLOOKUP(D22,Sheet1!$A$4:$H$18,2,FALSE),"0")))</f>
        <v>884</v>
      </c>
      <c r="W22" s="131">
        <f t="shared" si="6"/>
        <v>7033</v>
      </c>
      <c r="X22" s="110">
        <f t="shared" si="1"/>
        <v>10622</v>
      </c>
      <c r="Y22" s="139" t="str">
        <f t="shared" si="2"/>
        <v>SUCCESS</v>
      </c>
      <c r="Z22" s="139" t="str">
        <f t="shared" si="3"/>
        <v>SUCCESS</v>
      </c>
      <c r="AA22" s="141">
        <f t="shared" si="7"/>
        <v>156.9079698561315</v>
      </c>
    </row>
    <row r="23" spans="1:27">
      <c r="A23" s="112">
        <f>ROUNDDOWN(IF(N22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168</v>
      </c>
      <c r="B23" s="113">
        <f t="shared" si="4"/>
        <v>7039</v>
      </c>
      <c r="C23" s="118">
        <f t="shared" si="0"/>
        <v>45.820000000000007</v>
      </c>
      <c r="D23" s="40" t="s">
        <v>4</v>
      </c>
      <c r="E23" s="56">
        <f>IF(H22="AFIII",VLOOKUP($D23,Sheet1!$A$34:$K$48,5,FALSE),IF(H22="UBIII",VLOOKUP($D23,Sheet1!$A$34:$K$48,8,FALSE),VLOOKUP($D23,Sheet1!$A$34:$K$48,2,FALSE)))</f>
        <v>1.67</v>
      </c>
      <c r="F23" s="56">
        <f>ROUNDDOWN((IF(H22="AFIII",VLOOKUP($D23,Sheet1!$A$34:$K$48,5,FALSE),IF(H22="UBIII",VLOOKUP($D23,Sheet1!$A$34:$K$48,8,FALSE),VLOOKUP($D23,Sheet1!$A$34:$K$48,2,FALSE))))*0.85,2)</f>
        <v>1.41</v>
      </c>
      <c r="G23" s="56">
        <f t="shared" si="5"/>
        <v>2.0299999999999998</v>
      </c>
      <c r="H23" s="61" t="s">
        <v>84</v>
      </c>
      <c r="I23" s="56">
        <v>10</v>
      </c>
      <c r="K23" s="56">
        <f>K22-G23</f>
        <v>22.97</v>
      </c>
      <c r="L23" s="56">
        <f t="shared" si="11"/>
        <v>62.80999999999996</v>
      </c>
      <c r="O23" s="56">
        <f t="shared" si="17"/>
        <v>44.989999999999995</v>
      </c>
      <c r="Q23" s="56">
        <f>Q22-G23</f>
        <v>16.54</v>
      </c>
      <c r="R23" s="56">
        <f t="shared" si="15"/>
        <v>47.019999999999996</v>
      </c>
      <c r="S23" s="61" t="s">
        <v>87</v>
      </c>
      <c r="T23" s="56">
        <f>T22-G23</f>
        <v>5.67</v>
      </c>
      <c r="U23" s="71">
        <f>U22-G23</f>
        <v>65.669999999999959</v>
      </c>
      <c r="V23" s="130">
        <f>IF(H22="AFIII",VLOOKUP(D23,Sheet1!$A$4:$H$18,5,FALSE),IF(H22="UBIII",VLOOKUP(D23,Sheet1!$A$4:$H$18,8,FALSE),IF(H22="",VLOOKUP(D23,Sheet1!$A$4:$H$18,2,FALSE),"0")))</f>
        <v>442</v>
      </c>
      <c r="W23" s="130">
        <f t="shared" si="6"/>
        <v>7033</v>
      </c>
      <c r="X23" s="48">
        <f t="shared" si="1"/>
        <v>11064</v>
      </c>
      <c r="Y23" s="136" t="str">
        <f t="shared" si="2"/>
        <v>SUCCESS</v>
      </c>
      <c r="Z23" s="136" t="str">
        <f t="shared" si="3"/>
        <v>SUCCESS</v>
      </c>
      <c r="AA23" s="141">
        <f t="shared" si="7"/>
        <v>153.62287210824965</v>
      </c>
    </row>
    <row r="24" spans="1:27">
      <c r="A24" s="112">
        <f>ROUNDDOWN(IF(N23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504</v>
      </c>
      <c r="B24" s="113">
        <f t="shared" si="4"/>
        <v>7543</v>
      </c>
      <c r="C24" s="118">
        <f t="shared" si="0"/>
        <v>48.250000000000007</v>
      </c>
      <c r="D24" s="40" t="s">
        <v>6</v>
      </c>
      <c r="E24" s="56">
        <f>IF(H23="AFIII",VLOOKUP($D24,Sheet1!$A$34:$K$48,5,FALSE),IF(H23="UBIII",VLOOKUP($D24,Sheet1!$A$34:$K$48,8,FALSE),VLOOKUP($D24,Sheet1!$A$34:$K$48,2,FALSE)))</f>
        <v>2.86</v>
      </c>
      <c r="F24" s="56">
        <f>ROUNDDOWN((IF(H23="AFIII",VLOOKUP($D24,Sheet1!$A$34:$K$48,5,FALSE),IF(H23="UBIII",VLOOKUP($D24,Sheet1!$A$34:$K$48,8,FALSE),VLOOKUP($D24,Sheet1!$A$34:$K$48,2,FALSE))))*0.85,2)</f>
        <v>2.4300000000000002</v>
      </c>
      <c r="G24" s="56">
        <f t="shared" si="5"/>
        <v>2.4300000000000002</v>
      </c>
      <c r="H24" s="61" t="s">
        <v>84</v>
      </c>
      <c r="I24" s="56">
        <f>I23-G24</f>
        <v>7.57</v>
      </c>
      <c r="K24" s="56">
        <f t="shared" ref="K24:K30" si="18">K23-G24</f>
        <v>20.54</v>
      </c>
      <c r="L24" s="56">
        <f t="shared" si="11"/>
        <v>60.37999999999996</v>
      </c>
      <c r="O24" s="56">
        <f t="shared" si="17"/>
        <v>42.559999999999995</v>
      </c>
      <c r="Q24" s="56">
        <f t="shared" ref="Q24:Q29" si="19">Q23-G24</f>
        <v>14.11</v>
      </c>
      <c r="R24" s="56">
        <f t="shared" si="15"/>
        <v>44.589999999999996</v>
      </c>
      <c r="S24" s="61" t="s">
        <v>87</v>
      </c>
      <c r="T24" s="56">
        <f t="shared" ref="T24" si="20">T23-G24</f>
        <v>3.2399999999999998</v>
      </c>
      <c r="U24" s="71">
        <f t="shared" ref="U24" si="21">U23-G24</f>
        <v>63.239999999999959</v>
      </c>
      <c r="V24" s="130">
        <f>IF(H23="AFIII",VLOOKUP(D24,Sheet1!$A$4:$H$18,5,FALSE),IF(H23="UBIII",VLOOKUP(D24,Sheet1!$A$4:$H$18,8,FALSE),IF(H23="",VLOOKUP(D24,Sheet1!$A$4:$H$18,2,FALSE),"0")))</f>
        <v>1768</v>
      </c>
      <c r="W24" s="130">
        <f t="shared" si="6"/>
        <v>0</v>
      </c>
      <c r="X24" s="48">
        <f t="shared" si="1"/>
        <v>9296</v>
      </c>
      <c r="Y24" s="136" t="str">
        <f t="shared" si="2"/>
        <v>SUCCESS</v>
      </c>
      <c r="Z24" s="136" t="str">
        <f t="shared" si="3"/>
        <v>SUCCESS</v>
      </c>
      <c r="AA24" s="141">
        <f t="shared" si="7"/>
        <v>156.33160621761655</v>
      </c>
    </row>
    <row r="25" spans="1:27">
      <c r="A25" s="112">
        <f>ROUNDDOWN(IF(N24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504</v>
      </c>
      <c r="B25" s="113">
        <f t="shared" si="4"/>
        <v>8047</v>
      </c>
      <c r="C25" s="118">
        <f t="shared" si="0"/>
        <v>50.680000000000007</v>
      </c>
      <c r="D25" s="40" t="s">
        <v>6</v>
      </c>
      <c r="E25" s="56">
        <f>IF(H24="AFIII",VLOOKUP($D25,Sheet1!$A$34:$K$48,5,FALSE),IF(H24="UBIII",VLOOKUP($D25,Sheet1!$A$34:$K$48,8,FALSE),VLOOKUP($D25,Sheet1!$A$34:$K$48,2,FALSE)))</f>
        <v>2.86</v>
      </c>
      <c r="F25" s="56">
        <f>ROUNDDOWN((IF(H24="AFIII",VLOOKUP($D25,Sheet1!$A$34:$K$48,5,FALSE),IF(H24="UBIII",VLOOKUP($D25,Sheet1!$A$34:$K$48,8,FALSE),VLOOKUP($D25,Sheet1!$A$34:$K$48,2,FALSE))))*0.85,2)</f>
        <v>2.4300000000000002</v>
      </c>
      <c r="G25" s="56">
        <f t="shared" si="5"/>
        <v>2.4300000000000002</v>
      </c>
      <c r="H25" s="61" t="s">
        <v>84</v>
      </c>
      <c r="I25" s="56">
        <f>I24-G25</f>
        <v>5.1400000000000006</v>
      </c>
      <c r="K25" s="56">
        <f t="shared" si="18"/>
        <v>18.11</v>
      </c>
      <c r="L25" s="56">
        <f t="shared" si="11"/>
        <v>57.94999999999996</v>
      </c>
      <c r="O25" s="56">
        <f t="shared" si="17"/>
        <v>40.129999999999995</v>
      </c>
      <c r="Q25" s="56">
        <f t="shared" si="19"/>
        <v>11.68</v>
      </c>
      <c r="R25" s="56">
        <f t="shared" si="15"/>
        <v>42.16</v>
      </c>
      <c r="S25" s="61" t="s">
        <v>87</v>
      </c>
      <c r="T25" s="56">
        <f>T24-G25</f>
        <v>0.80999999999999961</v>
      </c>
      <c r="U25" s="71">
        <f>U24-G25</f>
        <v>60.80999999999996</v>
      </c>
      <c r="V25" s="130">
        <f>IF(H24="AFIII",VLOOKUP(D25,Sheet1!$A$4:$H$18,5,FALSE),IF(H24="UBIII",VLOOKUP(D25,Sheet1!$A$4:$H$18,8,FALSE),IF(H24="",VLOOKUP(D25,Sheet1!$A$4:$H$18,2,FALSE),"0")))</f>
        <v>1768</v>
      </c>
      <c r="W25" s="130">
        <f t="shared" si="6"/>
        <v>0</v>
      </c>
      <c r="X25" s="48">
        <f t="shared" si="1"/>
        <v>7528</v>
      </c>
      <c r="Y25" s="136" t="str">
        <f t="shared" si="2"/>
        <v>SUCCESS</v>
      </c>
      <c r="Z25" s="136" t="str">
        <f t="shared" si="3"/>
        <v>SUCCESS</v>
      </c>
      <c r="AA25" s="141">
        <f t="shared" si="7"/>
        <v>158.78058405682714</v>
      </c>
    </row>
    <row r="26" spans="1:27">
      <c r="A26" s="112">
        <f>ROUNDDOWN(IF(N25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324</v>
      </c>
      <c r="B26" s="113">
        <f t="shared" si="4"/>
        <v>8371</v>
      </c>
      <c r="C26" s="118">
        <f t="shared" si="0"/>
        <v>52.710000000000008</v>
      </c>
      <c r="D26" s="40" t="s">
        <v>0</v>
      </c>
      <c r="E26" s="56">
        <f>IF(H25="AFIII",VLOOKUP($D26,Sheet1!$A$34:$K$48,5,FALSE),IF(H25="UBIII",VLOOKUP($D26,Sheet1!$A$34:$K$48,8,FALSE),VLOOKUP($D26,Sheet1!$A$34:$K$48,2,FALSE)))</f>
        <v>2.39</v>
      </c>
      <c r="F26" s="56">
        <f>ROUNDDOWN((IF(H25="AFIII",VLOOKUP($D26,Sheet1!$A$34:$K$48,5,FALSE),IF(H25="UBIII",VLOOKUP($D26,Sheet1!$A$34:$K$48,8,FALSE),VLOOKUP($D26,Sheet1!$A$34:$K$48,2,FALSE))))*0.85,2)</f>
        <v>2.0299999999999998</v>
      </c>
      <c r="G26" s="56">
        <f t="shared" si="5"/>
        <v>2.0299999999999998</v>
      </c>
      <c r="H26" s="61" t="s">
        <v>84</v>
      </c>
      <c r="I26" s="56">
        <v>10</v>
      </c>
      <c r="K26" s="56">
        <f t="shared" si="18"/>
        <v>16.079999999999998</v>
      </c>
      <c r="L26" s="56">
        <f t="shared" si="11"/>
        <v>55.919999999999959</v>
      </c>
      <c r="O26" s="56">
        <f t="shared" si="17"/>
        <v>38.099999999999994</v>
      </c>
      <c r="Q26" s="56">
        <f t="shared" si="19"/>
        <v>9.65</v>
      </c>
      <c r="R26" s="56">
        <f t="shared" si="15"/>
        <v>40.129999999999995</v>
      </c>
      <c r="T26" s="56">
        <f>T25-G26</f>
        <v>-1.2200000000000002</v>
      </c>
      <c r="U26" s="71">
        <f t="shared" ref="U26:U47" si="22">U25-G26</f>
        <v>58.779999999999959</v>
      </c>
      <c r="V26" s="130">
        <f>IF(H25="AFIII",VLOOKUP(D26,Sheet1!$A$4:$H$18,5,FALSE),IF(H25="UBIII",VLOOKUP(D26,Sheet1!$A$4:$H$18,8,FALSE),IF(H25="",VLOOKUP(D26,Sheet1!$A$4:$H$18,2,FALSE),"0")))</f>
        <v>2120</v>
      </c>
      <c r="W26" s="130">
        <f t="shared" si="6"/>
        <v>0</v>
      </c>
      <c r="X26" s="48">
        <f t="shared" si="1"/>
        <v>5408</v>
      </c>
      <c r="Y26" s="136" t="str">
        <f t="shared" si="2"/>
        <v>SUCCESS</v>
      </c>
      <c r="Z26" s="136" t="str">
        <f t="shared" si="3"/>
        <v>SUCCESS</v>
      </c>
      <c r="AA26" s="141">
        <f t="shared" si="7"/>
        <v>158.81236956934166</v>
      </c>
    </row>
    <row r="27" spans="1:27">
      <c r="A27" s="112">
        <f>ROUNDDOWN(IF(N26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504</v>
      </c>
      <c r="B27" s="113">
        <f t="shared" si="4"/>
        <v>8875</v>
      </c>
      <c r="C27" s="118">
        <f t="shared" si="0"/>
        <v>55.570000000000007</v>
      </c>
      <c r="D27" s="40" t="s">
        <v>6</v>
      </c>
      <c r="E27" s="56">
        <f>IF(H26="AFIII",VLOOKUP($D27,Sheet1!$A$34:$K$48,5,FALSE),IF(H26="UBIII",VLOOKUP($D27,Sheet1!$A$34:$K$48,8,FALSE),VLOOKUP($D27,Sheet1!$A$34:$K$48,2,FALSE)))</f>
        <v>2.86</v>
      </c>
      <c r="F27" s="56">
        <f>ROUNDDOWN((IF(H26="AFIII",VLOOKUP($D27,Sheet1!$A$34:$K$48,5,FALSE),IF(H26="UBIII",VLOOKUP($D27,Sheet1!$A$34:$K$48,8,FALSE),VLOOKUP($D27,Sheet1!$A$34:$K$48,2,FALSE))))*0.85,2)</f>
        <v>2.4300000000000002</v>
      </c>
      <c r="G27" s="56">
        <f t="shared" si="5"/>
        <v>2.86</v>
      </c>
      <c r="H27" s="61" t="s">
        <v>84</v>
      </c>
      <c r="I27" s="56">
        <f>I26-G27</f>
        <v>7.1400000000000006</v>
      </c>
      <c r="K27" s="56">
        <f t="shared" si="18"/>
        <v>13.219999999999999</v>
      </c>
      <c r="L27" s="56">
        <f t="shared" si="11"/>
        <v>53.05999999999996</v>
      </c>
      <c r="O27" s="56">
        <f t="shared" si="17"/>
        <v>35.239999999999995</v>
      </c>
      <c r="Q27" s="56">
        <f t="shared" si="19"/>
        <v>6.7900000000000009</v>
      </c>
      <c r="R27" s="56">
        <f t="shared" si="15"/>
        <v>37.269999999999996</v>
      </c>
      <c r="U27" s="71">
        <f t="shared" si="22"/>
        <v>55.919999999999959</v>
      </c>
      <c r="V27" s="130">
        <f>IF(H26="AFIII",VLOOKUP(D27,Sheet1!$A$4:$H$18,5,FALSE),IF(H26="UBIII",VLOOKUP(D27,Sheet1!$A$4:$H$18,8,FALSE),IF(H26="",VLOOKUP(D27,Sheet1!$A$4:$H$18,2,FALSE),"0")))</f>
        <v>1768</v>
      </c>
      <c r="W27" s="130">
        <f t="shared" si="6"/>
        <v>0</v>
      </c>
      <c r="X27" s="48">
        <f t="shared" si="1"/>
        <v>3640</v>
      </c>
      <c r="Y27" s="136" t="str">
        <f t="shared" si="2"/>
        <v>SUCCESS</v>
      </c>
      <c r="Z27" s="136" t="str">
        <f t="shared" si="3"/>
        <v>SUCCESS</v>
      </c>
      <c r="AA27" s="141">
        <f t="shared" si="7"/>
        <v>159.70847579629293</v>
      </c>
    </row>
    <row r="28" spans="1:27">
      <c r="A28" s="112">
        <f>ROUNDDOWN(IF(N27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si="4"/>
        <v>9379</v>
      </c>
      <c r="C28" s="118">
        <f t="shared" si="0"/>
        <v>58.430000000000007</v>
      </c>
      <c r="D28" s="40" t="s">
        <v>6</v>
      </c>
      <c r="E28" s="56">
        <f>IF(H27="AFIII",VLOOKUP($D28,Sheet1!$A$34:$K$48,5,FALSE),IF(H27="UBIII",VLOOKUP($D28,Sheet1!$A$34:$K$48,8,FALSE),VLOOKUP($D28,Sheet1!$A$34:$K$48,2,FALSE)))</f>
        <v>2.86</v>
      </c>
      <c r="F28" s="56">
        <f>ROUNDDOWN((IF(H27="AFIII",VLOOKUP($D28,Sheet1!$A$34:$K$48,5,FALSE),IF(H27="UBIII",VLOOKUP($D28,Sheet1!$A$34:$K$48,8,FALSE),VLOOKUP($D28,Sheet1!$A$34:$K$48,2,FALSE))))*0.85,2)</f>
        <v>2.4300000000000002</v>
      </c>
      <c r="G28" s="56">
        <f t="shared" si="5"/>
        <v>2.86</v>
      </c>
      <c r="H28" s="61" t="s">
        <v>84</v>
      </c>
      <c r="I28" s="56">
        <f>I27-G28</f>
        <v>4.2800000000000011</v>
      </c>
      <c r="K28" s="56">
        <f t="shared" si="18"/>
        <v>10.36</v>
      </c>
      <c r="L28" s="56">
        <f t="shared" si="11"/>
        <v>50.19999999999996</v>
      </c>
      <c r="O28" s="56">
        <f t="shared" si="17"/>
        <v>32.379999999999995</v>
      </c>
      <c r="Q28" s="56">
        <f t="shared" si="19"/>
        <v>3.930000000000001</v>
      </c>
      <c r="R28" s="56">
        <f t="shared" si="15"/>
        <v>34.409999999999997</v>
      </c>
      <c r="U28" s="71">
        <f t="shared" si="22"/>
        <v>53.05999999999996</v>
      </c>
      <c r="V28" s="130">
        <f>IF(H27="AFIII",VLOOKUP(D28,Sheet1!$A$4:$H$18,5,FALSE),IF(H27="UBIII",VLOOKUP(D28,Sheet1!$A$4:$H$18,8,FALSE),IF(H27="",VLOOKUP(D28,Sheet1!$A$4:$H$18,2,FALSE),"0")))</f>
        <v>1768</v>
      </c>
      <c r="W28" s="130">
        <f t="shared" si="6"/>
        <v>0</v>
      </c>
      <c r="X28" s="48">
        <f t="shared" si="1"/>
        <v>1872</v>
      </c>
      <c r="Y28" s="136" t="str">
        <f t="shared" si="2"/>
        <v>SUCCESS</v>
      </c>
      <c r="Z28" s="136" t="str">
        <f t="shared" si="3"/>
        <v>SUCCESS</v>
      </c>
      <c r="AA28" s="141">
        <f t="shared" si="7"/>
        <v>160.51685777853839</v>
      </c>
    </row>
    <row r="29" spans="1:27">
      <c r="A29" s="112">
        <f>ROUNDDOWN(IF(N28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168</v>
      </c>
      <c r="B29" s="113">
        <f t="shared" si="4"/>
        <v>9547</v>
      </c>
      <c r="C29" s="118">
        <f t="shared" si="0"/>
        <v>60.820000000000007</v>
      </c>
      <c r="D29" s="40" t="s">
        <v>12</v>
      </c>
      <c r="E29" s="56">
        <f>IF(H28="AFIII",VLOOKUP($D29,Sheet1!$A$34:$K$48,5,FALSE),IF(H28="UBIII",VLOOKUP($D29,Sheet1!$A$34:$K$48,8,FALSE),VLOOKUP($D29,Sheet1!$A$34:$K$48,2,FALSE)))</f>
        <v>1.67</v>
      </c>
      <c r="F29" s="56">
        <f>ROUNDDOWN((IF(H28="AFIII",VLOOKUP($D29,Sheet1!$A$34:$K$48,5,FALSE),IF(H28="UBIII",VLOOKUP($D29,Sheet1!$A$34:$K$48,8,FALSE),VLOOKUP($D29,Sheet1!$A$34:$K$48,2,FALSE))))*0.85,2)</f>
        <v>1.41</v>
      </c>
      <c r="G29" s="56">
        <f t="shared" si="5"/>
        <v>2.39</v>
      </c>
      <c r="H29" s="61" t="s">
        <v>122</v>
      </c>
      <c r="I29" s="56">
        <v>10</v>
      </c>
      <c r="K29" s="56">
        <f t="shared" si="18"/>
        <v>7.9699999999999989</v>
      </c>
      <c r="L29" s="56">
        <f t="shared" si="11"/>
        <v>47.80999999999996</v>
      </c>
      <c r="O29" s="56">
        <f t="shared" si="17"/>
        <v>29.989999999999995</v>
      </c>
      <c r="Q29" s="56">
        <f t="shared" si="19"/>
        <v>1.5400000000000009</v>
      </c>
      <c r="R29" s="56">
        <f t="shared" si="15"/>
        <v>32.019999999999996</v>
      </c>
      <c r="U29" s="71">
        <f t="shared" si="22"/>
        <v>50.669999999999959</v>
      </c>
      <c r="V29" s="130">
        <f>IF(H28="AFIII",VLOOKUP(D29,Sheet1!$A$4:$H$18,5,FALSE),IF(H28="UBIII",VLOOKUP(D29,Sheet1!$A$4:$H$18,8,FALSE),IF(H28="",VLOOKUP(D29,Sheet1!$A$4:$H$18,2,FALSE),"0")))</f>
        <v>265</v>
      </c>
      <c r="W29" s="130">
        <f t="shared" si="6"/>
        <v>0</v>
      </c>
      <c r="X29" s="48">
        <f t="shared" si="1"/>
        <v>1607</v>
      </c>
      <c r="Y29" s="136" t="str">
        <f t="shared" si="2"/>
        <v>SUCCESS</v>
      </c>
      <c r="Z29" s="136" t="str">
        <f t="shared" si="3"/>
        <v>SUCCESS</v>
      </c>
      <c r="AA29" s="141">
        <f t="shared" si="7"/>
        <v>156.97139098980597</v>
      </c>
    </row>
    <row r="30" spans="1:27">
      <c r="A30" s="112">
        <f>ROUNDDOWN(IF(N29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340</v>
      </c>
      <c r="B30" s="113">
        <f t="shared" si="4"/>
        <v>9887</v>
      </c>
      <c r="C30" s="118">
        <f t="shared" si="0"/>
        <v>64.160000000000011</v>
      </c>
      <c r="D30" s="40" t="s">
        <v>21</v>
      </c>
      <c r="E30" s="56">
        <f>IF(H29="AFIII",VLOOKUP($D30,Sheet1!$A$34:$K$48,5,FALSE),IF(H29="UBIII",VLOOKUP($D30,Sheet1!$A$34:$K$48,8,FALSE),VLOOKUP($D30,Sheet1!$A$34:$K$48,2,FALSE)))</f>
        <v>3.34</v>
      </c>
      <c r="F30" s="56">
        <f>ROUNDDOWN((IF(H29="AFIII",VLOOKUP($D30,Sheet1!$A$34:$K$48,5,FALSE),IF(H29="UBIII",VLOOKUP($D30,Sheet1!$A$34:$K$48,8,FALSE),VLOOKUP($D30,Sheet1!$A$34:$K$48,2,FALSE))))*0.85,2)</f>
        <v>2.83</v>
      </c>
      <c r="G30" s="56">
        <f t="shared" si="5"/>
        <v>3.34</v>
      </c>
      <c r="H30" s="61" t="s">
        <v>122</v>
      </c>
      <c r="I30" s="56">
        <f>I29-G30</f>
        <v>6.66</v>
      </c>
      <c r="K30" s="56">
        <f t="shared" si="18"/>
        <v>4.629999999999999</v>
      </c>
      <c r="L30" s="56">
        <f t="shared" si="11"/>
        <v>44.469999999999956</v>
      </c>
      <c r="O30" s="56">
        <f t="shared" si="17"/>
        <v>26.649999999999995</v>
      </c>
      <c r="P30" s="61" t="s">
        <v>17</v>
      </c>
      <c r="Q30" s="56">
        <v>21</v>
      </c>
      <c r="R30" s="56">
        <f t="shared" si="15"/>
        <v>28.679999999999996</v>
      </c>
      <c r="U30" s="71">
        <f t="shared" si="22"/>
        <v>47.329999999999956</v>
      </c>
      <c r="V30" s="130">
        <f>IF(H29="AFIII",VLOOKUP(D30,Sheet1!$A$4:$H$18,5,FALSE),IF(H29="UBIII",VLOOKUP(D30,Sheet1!$A$4:$H$18,8,FALSE),IF(H29="",VLOOKUP(D30,Sheet1!$A$4:$H$18,2,FALSE),"0")))</f>
        <v>1414</v>
      </c>
      <c r="W30" s="130">
        <f t="shared" si="6"/>
        <v>7033</v>
      </c>
      <c r="X30" s="48">
        <f t="shared" si="1"/>
        <v>7226</v>
      </c>
      <c r="Y30" s="136" t="str">
        <f t="shared" si="2"/>
        <v>SUCCESS</v>
      </c>
      <c r="Z30" s="136" t="str">
        <f t="shared" si="3"/>
        <v>SUCCESS</v>
      </c>
      <c r="AA30" s="141">
        <f t="shared" si="7"/>
        <v>154.09912718204487</v>
      </c>
    </row>
    <row r="31" spans="1:27">
      <c r="A31" s="119">
        <f>ROUNDDOWN(IF(N30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280</v>
      </c>
      <c r="B31" s="120">
        <f t="shared" si="4"/>
        <v>10167</v>
      </c>
      <c r="C31" s="121">
        <f t="shared" si="0"/>
        <v>67.02000000000001</v>
      </c>
      <c r="D31" s="106" t="s">
        <v>14</v>
      </c>
      <c r="E31" s="107">
        <f>IF(H30="AFIII",VLOOKUP($D31,Sheet1!$A$34:$K$48,5,FALSE),IF(H30="UBIII",VLOOKUP($D31,Sheet1!$A$34:$K$48,8,FALSE),VLOOKUP($D31,Sheet1!$A$34:$K$48,2,FALSE)))</f>
        <v>2.86</v>
      </c>
      <c r="F31" s="107">
        <f>ROUNDDOWN((IF(H30="AFIII",VLOOKUP($D31,Sheet1!$A$34:$K$48,5,FALSE),IF(H30="UBIII",VLOOKUP($D31,Sheet1!$A$34:$K$48,8,FALSE),VLOOKUP($D31,Sheet1!$A$34:$K$48,2,FALSE))))*0.85,2)</f>
        <v>2.4300000000000002</v>
      </c>
      <c r="G31" s="107">
        <f t="shared" si="5"/>
        <v>2.86</v>
      </c>
      <c r="H31" s="108" t="s">
        <v>122</v>
      </c>
      <c r="I31" s="107">
        <f>I30-G31</f>
        <v>3.8000000000000003</v>
      </c>
      <c r="J31" s="108"/>
      <c r="K31" s="107">
        <v>20</v>
      </c>
      <c r="L31" s="107">
        <f t="shared" si="11"/>
        <v>41.609999999999957</v>
      </c>
      <c r="M31" s="108"/>
      <c r="N31" s="107"/>
      <c r="O31" s="107">
        <f t="shared" si="17"/>
        <v>23.789999999999996</v>
      </c>
      <c r="P31" s="108"/>
      <c r="Q31" s="107">
        <f>Q30-G31</f>
        <v>18.14</v>
      </c>
      <c r="R31" s="107">
        <f t="shared" si="15"/>
        <v>25.819999999999997</v>
      </c>
      <c r="S31" s="108"/>
      <c r="T31" s="107"/>
      <c r="U31" s="109">
        <f t="shared" si="22"/>
        <v>44.469999999999956</v>
      </c>
      <c r="V31" s="131">
        <f>IF(H30="AFIII",VLOOKUP(D31,Sheet1!$A$4:$H$18,5,FALSE),IF(H30="UBIII",VLOOKUP(D31,Sheet1!$A$4:$H$18,8,FALSE),IF(H30="",VLOOKUP(D31,Sheet1!$A$4:$H$18,2,FALSE),"0")))</f>
        <v>884</v>
      </c>
      <c r="W31" s="131">
        <f t="shared" si="6"/>
        <v>7033</v>
      </c>
      <c r="X31" s="110">
        <f t="shared" si="1"/>
        <v>10622</v>
      </c>
      <c r="Y31" s="139" t="str">
        <f t="shared" si="2"/>
        <v>SUCCESS</v>
      </c>
      <c r="Z31" s="139" t="str">
        <f t="shared" si="3"/>
        <v>SUCCESS</v>
      </c>
      <c r="AA31" s="141">
        <f t="shared" si="7"/>
        <v>151.70098478066245</v>
      </c>
    </row>
    <row r="32" spans="1:27">
      <c r="A32" s="112">
        <f>ROUNDDOWN(IF(N31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168</v>
      </c>
      <c r="B32" s="113">
        <f t="shared" si="4"/>
        <v>10335</v>
      </c>
      <c r="C32" s="118">
        <f t="shared" si="0"/>
        <v>69.410000000000011</v>
      </c>
      <c r="D32" s="40" t="s">
        <v>3</v>
      </c>
      <c r="E32" s="56">
        <f>IF(H31="AFIII",VLOOKUP($D32,Sheet1!$A$34:$K$48,5,FALSE),IF(H31="UBIII",VLOOKUP($D32,Sheet1!$A$34:$K$48,8,FALSE),VLOOKUP($D32,Sheet1!$A$34:$K$48,2,FALSE)))</f>
        <v>1.67</v>
      </c>
      <c r="F32" s="56">
        <f>ROUNDDOWN((IF(H31="AFIII",VLOOKUP($D32,Sheet1!$A$34:$K$48,5,FALSE),IF(H31="UBIII",VLOOKUP($D32,Sheet1!$A$34:$K$48,8,FALSE),VLOOKUP($D32,Sheet1!$A$34:$K$48,2,FALSE))))*0.85,2)</f>
        <v>1.41</v>
      </c>
      <c r="G32" s="56">
        <f t="shared" si="5"/>
        <v>2.39</v>
      </c>
      <c r="H32" s="61" t="s">
        <v>84</v>
      </c>
      <c r="I32" s="56">
        <v>10</v>
      </c>
      <c r="K32" s="56">
        <f>K31-G32</f>
        <v>17.61</v>
      </c>
      <c r="L32" s="56">
        <f t="shared" si="11"/>
        <v>39.219999999999956</v>
      </c>
      <c r="O32" s="56">
        <f t="shared" si="17"/>
        <v>21.399999999999995</v>
      </c>
      <c r="Q32" s="56">
        <f>Q31-G32</f>
        <v>15.75</v>
      </c>
      <c r="R32" s="56">
        <f t="shared" si="15"/>
        <v>23.429999999999996</v>
      </c>
      <c r="U32" s="71">
        <f t="shared" si="22"/>
        <v>42.079999999999956</v>
      </c>
      <c r="V32" s="130">
        <f>IF(H31="AFIII",VLOOKUP(D32,Sheet1!$A$4:$H$18,5,FALSE),IF(H31="UBIII",VLOOKUP(D32,Sheet1!$A$4:$H$18,8,FALSE),IF(H31="",VLOOKUP(D32,Sheet1!$A$4:$H$18,2,FALSE),"0")))</f>
        <v>442</v>
      </c>
      <c r="W32" s="130">
        <f t="shared" si="6"/>
        <v>7033</v>
      </c>
      <c r="X32" s="48">
        <f t="shared" si="1"/>
        <v>11064</v>
      </c>
      <c r="Y32" s="136" t="str">
        <f t="shared" si="2"/>
        <v>SUCCESS</v>
      </c>
      <c r="Z32" s="136" t="str">
        <f t="shared" si="3"/>
        <v>SUCCESS</v>
      </c>
      <c r="AA32" s="141">
        <f t="shared" si="7"/>
        <v>148.89785333525427</v>
      </c>
    </row>
    <row r="33" spans="1:27">
      <c r="A33" s="112">
        <f>ROUNDDOWN(IF(N32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504</v>
      </c>
      <c r="B33" s="113">
        <f t="shared" si="4"/>
        <v>10839</v>
      </c>
      <c r="C33" s="118">
        <f t="shared" si="0"/>
        <v>72.27000000000001</v>
      </c>
      <c r="D33" s="40" t="s">
        <v>5</v>
      </c>
      <c r="E33" s="56">
        <f>IF(H32="AFIII",VLOOKUP($D33,Sheet1!$A$34:$K$48,5,FALSE),IF(H32="UBIII",VLOOKUP($D33,Sheet1!$A$34:$K$48,8,FALSE),VLOOKUP($D33,Sheet1!$A$34:$K$48,2,FALSE)))</f>
        <v>2.86</v>
      </c>
      <c r="F33" s="56">
        <f>ROUNDDOWN((IF(H32="AFIII",VLOOKUP($D33,Sheet1!$A$34:$K$48,5,FALSE),IF(H32="UBIII",VLOOKUP($D33,Sheet1!$A$34:$K$48,8,FALSE),VLOOKUP($D33,Sheet1!$A$34:$K$48,2,FALSE))))*0.85,2)</f>
        <v>2.4300000000000002</v>
      </c>
      <c r="G33" s="56">
        <f t="shared" si="5"/>
        <v>2.86</v>
      </c>
      <c r="H33" s="61" t="s">
        <v>84</v>
      </c>
      <c r="I33" s="56">
        <f>I32-G33</f>
        <v>7.1400000000000006</v>
      </c>
      <c r="K33" s="56">
        <f t="shared" ref="K33:K46" si="23">K32-G33</f>
        <v>14.75</v>
      </c>
      <c r="L33" s="56">
        <f t="shared" si="11"/>
        <v>36.359999999999957</v>
      </c>
      <c r="O33" s="56">
        <f t="shared" si="17"/>
        <v>18.539999999999996</v>
      </c>
      <c r="Q33" s="56">
        <f t="shared" ref="Q33:Q38" si="24">Q32-G33</f>
        <v>12.89</v>
      </c>
      <c r="R33" s="56">
        <f t="shared" si="15"/>
        <v>20.569999999999997</v>
      </c>
      <c r="U33" s="71">
        <f t="shared" si="22"/>
        <v>39.219999999999956</v>
      </c>
      <c r="V33" s="130">
        <f>IF(H32="AFIII",VLOOKUP(D33,Sheet1!$A$4:$H$18,5,FALSE),IF(H32="UBIII",VLOOKUP(D33,Sheet1!$A$4:$H$18,8,FALSE),IF(H32="",VLOOKUP(D33,Sheet1!$A$4:$H$18,2,FALSE),"0")))</f>
        <v>1768</v>
      </c>
      <c r="W33" s="130">
        <f t="shared" si="6"/>
        <v>0</v>
      </c>
      <c r="X33" s="48">
        <f t="shared" si="1"/>
        <v>9296</v>
      </c>
      <c r="Y33" s="136" t="str">
        <f t="shared" si="2"/>
        <v>SUCCESS</v>
      </c>
      <c r="Z33" s="136" t="str">
        <f t="shared" si="3"/>
        <v>SUCCESS</v>
      </c>
      <c r="AA33" s="141">
        <f t="shared" si="7"/>
        <v>149.97924449979243</v>
      </c>
    </row>
    <row r="34" spans="1:27">
      <c r="A34" s="112">
        <f>ROUNDDOWN(IF(N33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504</v>
      </c>
      <c r="B34" s="113">
        <f t="shared" si="4"/>
        <v>11343</v>
      </c>
      <c r="C34" s="118">
        <f t="shared" si="0"/>
        <v>75.13000000000001</v>
      </c>
      <c r="D34" s="40" t="s">
        <v>5</v>
      </c>
      <c r="E34" s="56">
        <f>IF(H33="AFIII",VLOOKUP($D34,Sheet1!$A$34:$K$48,5,FALSE),IF(H33="UBIII",VLOOKUP($D34,Sheet1!$A$34:$K$48,8,FALSE),VLOOKUP($D34,Sheet1!$A$34:$K$48,2,FALSE)))</f>
        <v>2.86</v>
      </c>
      <c r="F34" s="56">
        <f>ROUNDDOWN((IF(H33="AFIII",VLOOKUP($D34,Sheet1!$A$34:$K$48,5,FALSE),IF(H33="UBIII",VLOOKUP($D34,Sheet1!$A$34:$K$48,8,FALSE),VLOOKUP($D34,Sheet1!$A$34:$K$48,2,FALSE))))*0.85,2)</f>
        <v>2.4300000000000002</v>
      </c>
      <c r="G34" s="56">
        <f t="shared" si="5"/>
        <v>2.86</v>
      </c>
      <c r="H34" s="61" t="s">
        <v>84</v>
      </c>
      <c r="I34" s="56">
        <f t="shared" ref="I34" si="25">I33-G34</f>
        <v>4.2800000000000011</v>
      </c>
      <c r="K34" s="56">
        <f t="shared" si="23"/>
        <v>11.89</v>
      </c>
      <c r="L34" s="56">
        <f t="shared" si="11"/>
        <v>33.499999999999957</v>
      </c>
      <c r="O34" s="56">
        <f t="shared" si="17"/>
        <v>15.679999999999996</v>
      </c>
      <c r="Q34" s="56">
        <f t="shared" si="24"/>
        <v>10.030000000000001</v>
      </c>
      <c r="R34" s="56">
        <f t="shared" si="15"/>
        <v>17.709999999999997</v>
      </c>
      <c r="U34" s="71">
        <f t="shared" si="22"/>
        <v>36.359999999999957</v>
      </c>
      <c r="V34" s="130">
        <f>IF(H33="AFIII",VLOOKUP(D34,Sheet1!$A$4:$H$18,5,FALSE),IF(H33="UBIII",VLOOKUP(D34,Sheet1!$A$4:$H$18,8,FALSE),IF(H33="",VLOOKUP(D34,Sheet1!$A$4:$H$18,2,FALSE),"0")))</f>
        <v>1768</v>
      </c>
      <c r="W34" s="130">
        <f t="shared" si="6"/>
        <v>0</v>
      </c>
      <c r="X34" s="48">
        <f t="shared" si="1"/>
        <v>7528</v>
      </c>
      <c r="Y34" s="136" t="str">
        <f t="shared" si="2"/>
        <v>SUCCESS</v>
      </c>
      <c r="Z34" s="136" t="str">
        <f t="shared" si="3"/>
        <v>SUCCESS</v>
      </c>
      <c r="AA34" s="141">
        <f t="shared" si="7"/>
        <v>150.97830427259416</v>
      </c>
    </row>
    <row r="35" spans="1:27">
      <c r="A35" s="112">
        <f>ROUNDDOWN(IF(N34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324</v>
      </c>
      <c r="B35" s="113">
        <f t="shared" si="4"/>
        <v>11667</v>
      </c>
      <c r="C35" s="118">
        <f t="shared" si="0"/>
        <v>77.52000000000001</v>
      </c>
      <c r="D35" s="40" t="s">
        <v>0</v>
      </c>
      <c r="E35" s="56">
        <f>IF(H34="AFIII",VLOOKUP($D35,Sheet1!$A$34:$K$48,5,FALSE),IF(H34="UBIII",VLOOKUP($D35,Sheet1!$A$34:$K$48,8,FALSE),VLOOKUP($D35,Sheet1!$A$34:$K$48,2,FALSE)))</f>
        <v>2.39</v>
      </c>
      <c r="F35" s="56">
        <f>ROUNDDOWN((IF(H34="AFIII",VLOOKUP($D35,Sheet1!$A$34:$K$48,5,FALSE),IF(H34="UBIII",VLOOKUP($D35,Sheet1!$A$34:$K$48,8,FALSE),VLOOKUP($D35,Sheet1!$A$34:$K$48,2,FALSE))))*0.85,2)</f>
        <v>2.0299999999999998</v>
      </c>
      <c r="G35" s="56">
        <f t="shared" si="5"/>
        <v>2.39</v>
      </c>
      <c r="H35" s="61" t="s">
        <v>84</v>
      </c>
      <c r="I35" s="56">
        <v>10</v>
      </c>
      <c r="K35" s="56">
        <f t="shared" si="23"/>
        <v>9.5</v>
      </c>
      <c r="L35" s="56">
        <f t="shared" si="11"/>
        <v>31.109999999999957</v>
      </c>
      <c r="O35" s="56">
        <f t="shared" si="17"/>
        <v>13.289999999999996</v>
      </c>
      <c r="Q35" s="56">
        <f t="shared" si="24"/>
        <v>7.6400000000000006</v>
      </c>
      <c r="R35" s="56">
        <f>R34-G35</f>
        <v>15.319999999999997</v>
      </c>
      <c r="U35" s="71">
        <f t="shared" si="22"/>
        <v>33.969999999999956</v>
      </c>
      <c r="V35" s="130">
        <f>IF(H34="AFIII",VLOOKUP(D35,Sheet1!$A$4:$H$18,5,FALSE),IF(H34="UBIII",VLOOKUP(D35,Sheet1!$A$4:$H$18,8,FALSE),IF(H34="",VLOOKUP(D35,Sheet1!$A$4:$H$18,2,FALSE),"0")))</f>
        <v>2120</v>
      </c>
      <c r="W35" s="130">
        <f t="shared" si="6"/>
        <v>0</v>
      </c>
      <c r="X35" s="48">
        <f t="shared" si="1"/>
        <v>5408</v>
      </c>
      <c r="Y35" s="136" t="str">
        <f t="shared" si="2"/>
        <v>SUCCESS</v>
      </c>
      <c r="Z35" s="136" t="str">
        <f t="shared" si="3"/>
        <v>SUCCESS</v>
      </c>
      <c r="AA35" s="141">
        <f t="shared" si="7"/>
        <v>150.50309597523218</v>
      </c>
    </row>
    <row r="36" spans="1:27">
      <c r="A36" s="112">
        <f>ROUNDDOWN(IF(N35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4"/>
        <v>12171</v>
      </c>
      <c r="C36" s="118">
        <f t="shared" si="0"/>
        <v>80.38000000000001</v>
      </c>
      <c r="D36" s="40" t="s">
        <v>6</v>
      </c>
      <c r="E36" s="56">
        <f>IF(H35="AFIII",VLOOKUP($D36,Sheet1!$A$34:$K$48,5,FALSE),IF(H35="UBIII",VLOOKUP($D36,Sheet1!$A$34:$K$48,8,FALSE),VLOOKUP($D36,Sheet1!$A$34:$K$48,2,FALSE)))</f>
        <v>2.86</v>
      </c>
      <c r="F36" s="56">
        <f>ROUNDDOWN((IF(H35="AFIII",VLOOKUP($D36,Sheet1!$A$34:$K$48,5,FALSE),IF(H35="UBIII",VLOOKUP($D36,Sheet1!$A$34:$K$48,8,FALSE),VLOOKUP($D36,Sheet1!$A$34:$K$48,2,FALSE))))*0.85,2)</f>
        <v>2.4300000000000002</v>
      </c>
      <c r="G36" s="56">
        <f t="shared" si="5"/>
        <v>2.86</v>
      </c>
      <c r="H36" s="61" t="s">
        <v>84</v>
      </c>
      <c r="I36" s="56">
        <f>I35-G36</f>
        <v>7.1400000000000006</v>
      </c>
      <c r="K36" s="56">
        <f t="shared" si="23"/>
        <v>6.6400000000000006</v>
      </c>
      <c r="L36" s="56">
        <f t="shared" si="11"/>
        <v>28.249999999999957</v>
      </c>
      <c r="O36" s="56">
        <f t="shared" si="17"/>
        <v>10.429999999999996</v>
      </c>
      <c r="Q36" s="56">
        <f t="shared" si="24"/>
        <v>4.7800000000000011</v>
      </c>
      <c r="R36" s="56">
        <f t="shared" si="15"/>
        <v>12.459999999999997</v>
      </c>
      <c r="U36" s="71">
        <f t="shared" si="22"/>
        <v>31.109999999999957</v>
      </c>
      <c r="V36" s="130">
        <f>IF(H35="AFIII",VLOOKUP(D36,Sheet1!$A$4:$H$18,5,FALSE),IF(H35="UBIII",VLOOKUP(D36,Sheet1!$A$4:$H$18,8,FALSE),IF(H35="",VLOOKUP(D36,Sheet1!$A$4:$H$18,2,FALSE),"0")))</f>
        <v>1768</v>
      </c>
      <c r="W36" s="130">
        <f t="shared" si="6"/>
        <v>0</v>
      </c>
      <c r="X36" s="48">
        <f t="shared" si="1"/>
        <v>3640</v>
      </c>
      <c r="Y36" s="136" t="str">
        <f t="shared" si="2"/>
        <v>SUCCESS</v>
      </c>
      <c r="Z36" s="136" t="str">
        <f t="shared" si="3"/>
        <v>SUCCESS</v>
      </c>
      <c r="AA36" s="141">
        <f t="shared" si="7"/>
        <v>151.41826324956455</v>
      </c>
    </row>
    <row r="37" spans="1:27">
      <c r="A37" s="112">
        <f>ROUNDDOWN(IF(N36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168</v>
      </c>
      <c r="B37" s="113">
        <f t="shared" si="4"/>
        <v>12339</v>
      </c>
      <c r="C37" s="118">
        <f t="shared" si="0"/>
        <v>82.77000000000001</v>
      </c>
      <c r="D37" s="40" t="s">
        <v>12</v>
      </c>
      <c r="E37" s="56">
        <f>IF(H36="AFIII",VLOOKUP($D37,Sheet1!$A$34:$K$48,5,FALSE),IF(H36="UBIII",VLOOKUP($D37,Sheet1!$A$34:$K$48,8,FALSE),VLOOKUP($D37,Sheet1!$A$34:$K$48,2,FALSE)))</f>
        <v>1.67</v>
      </c>
      <c r="F37" s="56">
        <f>ROUNDDOWN((IF(H36="AFIII",VLOOKUP($D37,Sheet1!$A$34:$K$48,5,FALSE),IF(H36="UBIII",VLOOKUP($D37,Sheet1!$A$34:$K$48,8,FALSE),VLOOKUP($D37,Sheet1!$A$34:$K$48,2,FALSE))))*0.85,2)</f>
        <v>1.41</v>
      </c>
      <c r="G37" s="56">
        <f t="shared" si="5"/>
        <v>2.39</v>
      </c>
      <c r="H37" s="61" t="s">
        <v>122</v>
      </c>
      <c r="I37" s="56">
        <v>10</v>
      </c>
      <c r="K37" s="56">
        <f t="shared" si="23"/>
        <v>4.25</v>
      </c>
      <c r="L37" s="56">
        <f t="shared" si="11"/>
        <v>25.859999999999957</v>
      </c>
      <c r="O37" s="56">
        <f t="shared" si="17"/>
        <v>8.0399999999999956</v>
      </c>
      <c r="Q37" s="56">
        <f t="shared" si="24"/>
        <v>2.390000000000001</v>
      </c>
      <c r="R37" s="56">
        <f t="shared" si="15"/>
        <v>10.069999999999997</v>
      </c>
      <c r="U37" s="71">
        <f t="shared" si="22"/>
        <v>28.719999999999956</v>
      </c>
      <c r="V37" s="130">
        <f>IF(H36="AFIII",VLOOKUP(D37,Sheet1!$A$4:$H$18,5,FALSE),IF(H36="UBIII",VLOOKUP(D37,Sheet1!$A$4:$H$18,8,FALSE),IF(H36="",VLOOKUP(D37,Sheet1!$A$4:$H$18,2,FALSE),"0")))</f>
        <v>265</v>
      </c>
      <c r="W37" s="130">
        <f t="shared" si="6"/>
        <v>0</v>
      </c>
      <c r="X37" s="48">
        <f t="shared" si="1"/>
        <v>3375</v>
      </c>
      <c r="Y37" s="136" t="str">
        <f t="shared" si="2"/>
        <v>SUCCESS</v>
      </c>
      <c r="Z37" s="136" t="str">
        <f t="shared" si="3"/>
        <v>SUCCESS</v>
      </c>
      <c r="AA37" s="141">
        <f t="shared" si="7"/>
        <v>149.07575208408841</v>
      </c>
    </row>
    <row r="38" spans="1:27">
      <c r="A38" s="119">
        <f>ROUNDDOWN(IF(N37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280</v>
      </c>
      <c r="B38" s="120">
        <f t="shared" si="4"/>
        <v>12619</v>
      </c>
      <c r="C38" s="121">
        <f t="shared" si="0"/>
        <v>85.63000000000001</v>
      </c>
      <c r="D38" s="106" t="s">
        <v>14</v>
      </c>
      <c r="E38" s="107">
        <f>IF(H37="AFIII",VLOOKUP($D38,Sheet1!$A$34:$K$48,5,FALSE),IF(H37="UBIII",VLOOKUP($D38,Sheet1!$A$34:$K$48,8,FALSE),VLOOKUP($D38,Sheet1!$A$34:$K$48,2,FALSE)))</f>
        <v>2.86</v>
      </c>
      <c r="F38" s="107">
        <f>ROUNDDOWN((IF(H37="AFIII",VLOOKUP($D38,Sheet1!$A$34:$K$48,5,FALSE),IF(H37="UBIII",VLOOKUP($D38,Sheet1!$A$34:$K$48,8,FALSE),VLOOKUP($D38,Sheet1!$A$34:$K$48,2,FALSE))))*0.85,2)</f>
        <v>2.4300000000000002</v>
      </c>
      <c r="G38" s="107">
        <f t="shared" si="5"/>
        <v>2.86</v>
      </c>
      <c r="H38" s="108" t="s">
        <v>122</v>
      </c>
      <c r="I38" s="107">
        <f>I37-G38</f>
        <v>7.1400000000000006</v>
      </c>
      <c r="J38" s="108"/>
      <c r="K38" s="107">
        <v>15</v>
      </c>
      <c r="L38" s="107">
        <f t="shared" si="11"/>
        <v>22.999999999999957</v>
      </c>
      <c r="M38" s="108"/>
      <c r="N38" s="107"/>
      <c r="O38" s="107">
        <f t="shared" si="17"/>
        <v>5.1799999999999962</v>
      </c>
      <c r="P38" s="108"/>
      <c r="Q38" s="107">
        <f t="shared" si="24"/>
        <v>-0.46999999999999886</v>
      </c>
      <c r="R38" s="107">
        <f t="shared" si="15"/>
        <v>7.2099999999999973</v>
      </c>
      <c r="S38" s="108"/>
      <c r="T38" s="107"/>
      <c r="U38" s="109">
        <f t="shared" si="22"/>
        <v>25.859999999999957</v>
      </c>
      <c r="V38" s="131">
        <f>IF(H37="AFIII",VLOOKUP(D38,Sheet1!$A$4:$H$18,5,FALSE),IF(H37="UBIII",VLOOKUP(D38,Sheet1!$A$4:$H$18,8,FALSE),IF(H37="",VLOOKUP(D38,Sheet1!$A$4:$H$18,2,FALSE),"0")))</f>
        <v>884</v>
      </c>
      <c r="W38" s="131">
        <f t="shared" si="6"/>
        <v>7033</v>
      </c>
      <c r="X38" s="110">
        <f t="shared" si="1"/>
        <v>9524</v>
      </c>
      <c r="Y38" s="139" t="str">
        <f t="shared" si="2"/>
        <v>SUCCESS</v>
      </c>
      <c r="Z38" s="139" t="str">
        <f t="shared" si="3"/>
        <v>SUCCESS</v>
      </c>
      <c r="AA38" s="141">
        <f t="shared" si="7"/>
        <v>147.36657713418194</v>
      </c>
    </row>
    <row r="39" spans="1:27">
      <c r="A39" s="112">
        <f>ROUNDDOWN(IF(N38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168</v>
      </c>
      <c r="B39" s="113">
        <f t="shared" si="4"/>
        <v>12787</v>
      </c>
      <c r="C39" s="118">
        <f t="shared" si="0"/>
        <v>88.02000000000001</v>
      </c>
      <c r="D39" s="40" t="s">
        <v>4</v>
      </c>
      <c r="E39" s="56">
        <f>IF(H38="AFIII",VLOOKUP($D39,Sheet1!$A$34:$K$48,5,FALSE),IF(H38="UBIII",VLOOKUP($D39,Sheet1!$A$34:$K$48,8,FALSE),VLOOKUP($D39,Sheet1!$A$34:$K$48,2,FALSE)))</f>
        <v>1.67</v>
      </c>
      <c r="F39" s="56">
        <f>ROUNDDOWN((IF(H38="AFIII",VLOOKUP($D39,Sheet1!$A$34:$K$48,5,FALSE),IF(H38="UBIII",VLOOKUP($D39,Sheet1!$A$34:$K$48,8,FALSE),VLOOKUP($D39,Sheet1!$A$34:$K$48,2,FALSE))))*0.85,2)</f>
        <v>1.41</v>
      </c>
      <c r="G39" s="56">
        <f t="shared" si="5"/>
        <v>2.39</v>
      </c>
      <c r="H39" s="61" t="s">
        <v>84</v>
      </c>
      <c r="I39" s="56">
        <v>10</v>
      </c>
      <c r="K39" s="56">
        <f t="shared" si="23"/>
        <v>12.61</v>
      </c>
      <c r="L39" s="56">
        <f t="shared" si="11"/>
        <v>20.609999999999957</v>
      </c>
      <c r="M39" s="61" t="s">
        <v>135</v>
      </c>
      <c r="O39" s="56">
        <f t="shared" si="17"/>
        <v>2.789999999999996</v>
      </c>
      <c r="R39" s="56">
        <f t="shared" si="15"/>
        <v>4.8199999999999967</v>
      </c>
      <c r="U39" s="71">
        <f>U38-G39</f>
        <v>23.469999999999956</v>
      </c>
      <c r="V39" s="130">
        <f>IF(H38="AFIII",VLOOKUP(D39,Sheet1!$A$4:$H$18,5,FALSE),IF(H38="UBIII",VLOOKUP(D39,Sheet1!$A$4:$H$18,8,FALSE),IF(H38="",VLOOKUP(D39,Sheet1!$A$4:$H$18,2,FALSE),"0")))</f>
        <v>442</v>
      </c>
      <c r="W39" s="130">
        <f t="shared" si="6"/>
        <v>7033</v>
      </c>
      <c r="X39" s="48">
        <f t="shared" si="1"/>
        <v>11064</v>
      </c>
      <c r="Y39" s="136" t="str">
        <f t="shared" si="2"/>
        <v>SUCCESS</v>
      </c>
      <c r="Z39" s="136" t="str">
        <f t="shared" si="3"/>
        <v>SUCCESS</v>
      </c>
      <c r="AA39" s="141">
        <f t="shared" si="7"/>
        <v>145.27380140877071</v>
      </c>
    </row>
    <row r="40" spans="1:27">
      <c r="A40" s="112">
        <f>ROUNDDOWN(IF(N39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504</v>
      </c>
      <c r="B40" s="113">
        <f t="shared" si="4"/>
        <v>13291</v>
      </c>
      <c r="C40" s="118">
        <f t="shared" si="0"/>
        <v>90.88000000000001</v>
      </c>
      <c r="D40" s="40" t="s">
        <v>6</v>
      </c>
      <c r="E40" s="56">
        <f>IF(H39="AFIII",VLOOKUP($D40,Sheet1!$A$34:$K$48,5,FALSE),IF(H39="UBIII",VLOOKUP($D40,Sheet1!$A$34:$K$48,8,FALSE),VLOOKUP($D40,Sheet1!$A$34:$K$48,2,FALSE)))</f>
        <v>2.86</v>
      </c>
      <c r="F40" s="56">
        <f>ROUNDDOWN((IF(H39="AFIII",VLOOKUP($D40,Sheet1!$A$34:$K$48,5,FALSE),IF(H39="UBIII",VLOOKUP($D40,Sheet1!$A$34:$K$48,8,FALSE),VLOOKUP($D40,Sheet1!$A$34:$K$48,2,FALSE))))*0.85,2)</f>
        <v>2.4300000000000002</v>
      </c>
      <c r="G40" s="56">
        <f t="shared" si="5"/>
        <v>2.86</v>
      </c>
      <c r="H40" s="61" t="s">
        <v>84</v>
      </c>
      <c r="I40" s="56">
        <f>I39-G40</f>
        <v>7.1400000000000006</v>
      </c>
      <c r="K40" s="56">
        <f t="shared" si="23"/>
        <v>9.75</v>
      </c>
      <c r="L40" s="56">
        <f t="shared" si="11"/>
        <v>17.749999999999957</v>
      </c>
      <c r="O40" s="56">
        <f t="shared" si="17"/>
        <v>-7.0000000000003837E-2</v>
      </c>
      <c r="P40" s="61" t="s">
        <v>136</v>
      </c>
      <c r="R40" s="56">
        <f>R39-G40</f>
        <v>1.9599999999999969</v>
      </c>
      <c r="U40" s="71">
        <f t="shared" si="22"/>
        <v>20.609999999999957</v>
      </c>
      <c r="V40" s="130">
        <f>IF(H39="AFIII",VLOOKUP(D40,Sheet1!$A$4:$H$18,5,FALSE),IF(H39="UBIII",VLOOKUP(D40,Sheet1!$A$4:$H$18,8,FALSE),IF(H39="",VLOOKUP(D40,Sheet1!$A$4:$H$18,2,FALSE),"0")))</f>
        <v>1768</v>
      </c>
      <c r="W40" s="130">
        <f t="shared" si="6"/>
        <v>0</v>
      </c>
      <c r="X40" s="48">
        <f t="shared" si="1"/>
        <v>9296</v>
      </c>
      <c r="Y40" s="136" t="str">
        <f t="shared" si="2"/>
        <v>SUCCESS</v>
      </c>
      <c r="Z40" s="136" t="str">
        <f t="shared" si="3"/>
        <v>SUCCESS</v>
      </c>
      <c r="AA40" s="141">
        <f t="shared" si="7"/>
        <v>146.24779929577463</v>
      </c>
    </row>
    <row r="41" spans="1:27">
      <c r="A41" s="112">
        <f>ROUNDDOWN(IF(N40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504</v>
      </c>
      <c r="B41" s="113">
        <f t="shared" si="4"/>
        <v>13795</v>
      </c>
      <c r="C41" s="118">
        <f t="shared" si="0"/>
        <v>93.740000000000009</v>
      </c>
      <c r="D41" s="40" t="s">
        <v>6</v>
      </c>
      <c r="E41" s="56">
        <f>IF(H40="AFIII",VLOOKUP($D41,Sheet1!$A$34:$K$48,5,FALSE),IF(H40="UBIII",VLOOKUP($D41,Sheet1!$A$34:$K$48,8,FALSE),VLOOKUP($D41,Sheet1!$A$34:$K$48,2,FALSE)))</f>
        <v>2.86</v>
      </c>
      <c r="F41" s="56">
        <f>ROUNDDOWN((IF(H40="AFIII",VLOOKUP($D41,Sheet1!$A$34:$K$48,5,FALSE),IF(H40="UBIII",VLOOKUP($D41,Sheet1!$A$34:$K$48,8,FALSE),VLOOKUP($D41,Sheet1!$A$34:$K$48,2,FALSE))))*0.85,2)</f>
        <v>2.4300000000000002</v>
      </c>
      <c r="G41" s="56">
        <f t="shared" si="5"/>
        <v>2.86</v>
      </c>
      <c r="H41" s="61" t="s">
        <v>84</v>
      </c>
      <c r="I41" s="56">
        <f>I40-G41</f>
        <v>4.2800000000000011</v>
      </c>
      <c r="K41" s="56">
        <f t="shared" si="23"/>
        <v>6.8900000000000006</v>
      </c>
      <c r="L41" s="56">
        <f t="shared" si="11"/>
        <v>14.889999999999958</v>
      </c>
      <c r="R41" s="56">
        <f>R40-G41</f>
        <v>-0.90000000000000302</v>
      </c>
      <c r="U41" s="71">
        <f t="shared" si="22"/>
        <v>17.749999999999957</v>
      </c>
      <c r="V41" s="130">
        <f>IF(H40="AFIII",VLOOKUP(D41,Sheet1!$A$4:$H$18,5,FALSE),IF(H40="UBIII",VLOOKUP(D41,Sheet1!$A$4:$H$18,8,FALSE),IF(H40="",VLOOKUP(D41,Sheet1!$A$4:$H$18,2,FALSE),"0")))</f>
        <v>1768</v>
      </c>
      <c r="W41" s="130">
        <f t="shared" si="6"/>
        <v>0</v>
      </c>
      <c r="X41" s="48">
        <f t="shared" si="1"/>
        <v>7528</v>
      </c>
      <c r="Y41" s="136" t="str">
        <f t="shared" si="2"/>
        <v>SUCCESS</v>
      </c>
      <c r="Z41" s="136" t="str">
        <f t="shared" si="3"/>
        <v>SUCCESS</v>
      </c>
      <c r="AA41" s="141">
        <f t="shared" si="7"/>
        <v>147.16236398549177</v>
      </c>
    </row>
    <row r="42" spans="1:27">
      <c r="A42" s="112">
        <f>ROUNDDOWN(IF(N41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324</v>
      </c>
      <c r="B42" s="113">
        <f t="shared" si="4"/>
        <v>14119</v>
      </c>
      <c r="C42" s="118">
        <f t="shared" si="0"/>
        <v>96.13000000000001</v>
      </c>
      <c r="D42" s="40" t="s">
        <v>0</v>
      </c>
      <c r="E42" s="56">
        <f>IF(H41="AFIII",VLOOKUP($D42,Sheet1!$A$34:$K$48,5,FALSE),IF(H41="UBIII",VLOOKUP($D42,Sheet1!$A$34:$K$48,8,FALSE),VLOOKUP($D42,Sheet1!$A$34:$K$48,2,FALSE)))</f>
        <v>2.39</v>
      </c>
      <c r="F42" s="56">
        <f>ROUNDDOWN((IF(H41="AFIII",VLOOKUP($D42,Sheet1!$A$34:$K$48,5,FALSE),IF(H41="UBIII",VLOOKUP($D42,Sheet1!$A$34:$K$48,8,FALSE),VLOOKUP($D42,Sheet1!$A$34:$K$48,2,FALSE))))*0.85,2)</f>
        <v>2.0299999999999998</v>
      </c>
      <c r="G42" s="56">
        <f t="shared" si="5"/>
        <v>2.39</v>
      </c>
      <c r="H42" s="61" t="s">
        <v>84</v>
      </c>
      <c r="I42" s="56">
        <v>10</v>
      </c>
      <c r="K42" s="56">
        <f t="shared" si="23"/>
        <v>4.5</v>
      </c>
      <c r="L42" s="56">
        <f t="shared" si="11"/>
        <v>12.499999999999957</v>
      </c>
      <c r="U42" s="71">
        <f t="shared" si="22"/>
        <v>15.359999999999957</v>
      </c>
      <c r="V42" s="130">
        <f>IF(H41="AFIII",VLOOKUP(D42,Sheet1!$A$4:$H$18,5,FALSE),IF(H41="UBIII",VLOOKUP(D42,Sheet1!$A$4:$H$18,8,FALSE),IF(H41="",VLOOKUP(D42,Sheet1!$A$4:$H$18,2,FALSE),"0")))</f>
        <v>2120</v>
      </c>
      <c r="W42" s="130">
        <f t="shared" si="6"/>
        <v>0</v>
      </c>
      <c r="X42" s="48">
        <f t="shared" si="1"/>
        <v>5408</v>
      </c>
      <c r="Y42" s="136" t="str">
        <f t="shared" si="2"/>
        <v>SUCCESS</v>
      </c>
      <c r="Z42" s="136" t="str">
        <f t="shared" si="3"/>
        <v>SUCCESS</v>
      </c>
      <c r="AA42" s="141">
        <f t="shared" si="7"/>
        <v>146.87402475814</v>
      </c>
    </row>
    <row r="43" spans="1:27">
      <c r="A43" s="112">
        <f>ROUNDDOWN(IF(N42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504</v>
      </c>
      <c r="B43" s="113">
        <f t="shared" si="4"/>
        <v>14623</v>
      </c>
      <c r="C43" s="118">
        <f t="shared" si="0"/>
        <v>98.990000000000009</v>
      </c>
      <c r="D43" s="40" t="s">
        <v>6</v>
      </c>
      <c r="E43" s="56">
        <f>IF(H42="AFIII",VLOOKUP($D43,Sheet1!$A$34:$K$48,5,FALSE),IF(H42="UBIII",VLOOKUP($D43,Sheet1!$A$34:$K$48,8,FALSE),VLOOKUP($D43,Sheet1!$A$34:$K$48,2,FALSE)))</f>
        <v>2.86</v>
      </c>
      <c r="F43" s="56">
        <f>ROUNDDOWN((IF(H42="AFIII",VLOOKUP($D43,Sheet1!$A$34:$K$48,5,FALSE),IF(H42="UBIII",VLOOKUP($D43,Sheet1!$A$34:$K$48,8,FALSE),VLOOKUP($D43,Sheet1!$A$34:$K$48,2,FALSE))))*0.85,2)</f>
        <v>2.4300000000000002</v>
      </c>
      <c r="G43" s="56">
        <f t="shared" si="5"/>
        <v>2.86</v>
      </c>
      <c r="H43" s="61" t="s">
        <v>84</v>
      </c>
      <c r="I43" s="56">
        <f>I42-G43</f>
        <v>7.1400000000000006</v>
      </c>
      <c r="K43" s="56">
        <f t="shared" si="23"/>
        <v>1.6400000000000001</v>
      </c>
      <c r="L43" s="56">
        <f t="shared" si="11"/>
        <v>9.6399999999999579</v>
      </c>
      <c r="M43" s="61" t="s">
        <v>102</v>
      </c>
      <c r="O43" s="56">
        <v>60</v>
      </c>
      <c r="U43" s="71">
        <f t="shared" si="22"/>
        <v>12.499999999999957</v>
      </c>
      <c r="V43" s="130">
        <f>IF(H42="AFIII",VLOOKUP(D43,Sheet1!$A$4:$H$18,5,FALSE),IF(H42="UBIII",VLOOKUP(D43,Sheet1!$A$4:$H$18,8,FALSE),IF(H42="",VLOOKUP(D43,Sheet1!$A$4:$H$18,2,FALSE),"0")))</f>
        <v>1768</v>
      </c>
      <c r="W43" s="130">
        <f t="shared" si="6"/>
        <v>0</v>
      </c>
      <c r="X43" s="48">
        <f t="shared" si="1"/>
        <v>3640</v>
      </c>
      <c r="Y43" s="136" t="str">
        <f t="shared" si="2"/>
        <v>SUCCESS</v>
      </c>
      <c r="Z43" s="136" t="str">
        <f t="shared" si="3"/>
        <v>SUCCESS</v>
      </c>
      <c r="AA43" s="141">
        <f t="shared" si="7"/>
        <v>147.72199212041619</v>
      </c>
    </row>
    <row r="44" spans="1:27">
      <c r="A44" s="112">
        <f>ROUNDDOWN(IF(N43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4"/>
        <v>15127</v>
      </c>
      <c r="C44" s="118">
        <f t="shared" si="0"/>
        <v>101.38000000000001</v>
      </c>
      <c r="D44" s="40" t="s">
        <v>6</v>
      </c>
      <c r="E44" s="56">
        <f>IF(H43="AFIII",VLOOKUP($D44,Sheet1!$A$34:$K$48,5,FALSE),IF(H43="UBIII",VLOOKUP($D44,Sheet1!$A$34:$K$48,8,FALSE),VLOOKUP($D44,Sheet1!$A$34:$K$48,2,FALSE)))</f>
        <v>2.86</v>
      </c>
      <c r="F44" s="56">
        <f>ROUNDDOWN((IF(H43="AFIII",VLOOKUP($D44,Sheet1!$A$34:$K$48,5,FALSE),IF(H43="UBIII",VLOOKUP($D44,Sheet1!$A$34:$K$48,8,FALSE),VLOOKUP($D44,Sheet1!$A$34:$K$48,2,FALSE))))*0.85,2)</f>
        <v>2.4300000000000002</v>
      </c>
      <c r="G44" s="56">
        <f t="shared" si="5"/>
        <v>2.39</v>
      </c>
      <c r="H44" s="61" t="s">
        <v>84</v>
      </c>
      <c r="I44" s="56">
        <f t="shared" ref="I44" si="26">I43-G44</f>
        <v>4.75</v>
      </c>
      <c r="K44" s="56">
        <f t="shared" si="23"/>
        <v>-0.75</v>
      </c>
      <c r="L44" s="56">
        <f t="shared" si="11"/>
        <v>7.2499999999999574</v>
      </c>
      <c r="O44" s="56">
        <f>O43-G44</f>
        <v>57.61</v>
      </c>
      <c r="U44" s="71">
        <f t="shared" si="22"/>
        <v>10.109999999999957</v>
      </c>
      <c r="V44" s="130">
        <f>IF(H43="AFIII",VLOOKUP(D44,Sheet1!$A$4:$H$18,5,FALSE),IF(H43="UBIII",VLOOKUP(D44,Sheet1!$A$4:$H$18,8,FALSE),IF(H43="",VLOOKUP(D44,Sheet1!$A$4:$H$18,2,FALSE),"0")))</f>
        <v>1768</v>
      </c>
      <c r="W44" s="130">
        <f t="shared" si="6"/>
        <v>0</v>
      </c>
      <c r="X44" s="48">
        <f t="shared" si="1"/>
        <v>1872</v>
      </c>
      <c r="Y44" s="136" t="str">
        <f t="shared" si="2"/>
        <v>SUCCESS</v>
      </c>
      <c r="Z44" s="136" t="str">
        <f t="shared" si="3"/>
        <v>ERROR</v>
      </c>
      <c r="AA44" s="141">
        <f t="shared" si="7"/>
        <v>149.21088972183861</v>
      </c>
    </row>
    <row r="45" spans="1:27">
      <c r="A45" s="112">
        <f>ROUNDDOWN(IF(N44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168</v>
      </c>
      <c r="B45" s="113">
        <f t="shared" si="4"/>
        <v>15295</v>
      </c>
      <c r="C45" s="118">
        <f t="shared" si="0"/>
        <v>103.77000000000001</v>
      </c>
      <c r="D45" s="40" t="s">
        <v>12</v>
      </c>
      <c r="E45" s="56">
        <f>IF(H44="AFIII",VLOOKUP($D45,Sheet1!$A$34:$K$48,5,FALSE),IF(H44="UBIII",VLOOKUP($D45,Sheet1!$A$34:$K$48,8,FALSE),VLOOKUP($D45,Sheet1!$A$34:$K$48,2,FALSE)))</f>
        <v>1.67</v>
      </c>
      <c r="F45" s="56">
        <f>ROUNDDOWN((IF(H44="AFIII",VLOOKUP($D45,Sheet1!$A$34:$K$48,5,FALSE),IF(H44="UBIII",VLOOKUP($D45,Sheet1!$A$34:$K$48,8,FALSE),VLOOKUP($D45,Sheet1!$A$34:$K$48,2,FALSE))))*0.85,2)</f>
        <v>1.41</v>
      </c>
      <c r="G45" s="56">
        <f t="shared" si="5"/>
        <v>2.39</v>
      </c>
      <c r="H45" s="61" t="s">
        <v>122</v>
      </c>
      <c r="I45" s="56">
        <v>10</v>
      </c>
      <c r="K45" s="56">
        <f t="shared" si="23"/>
        <v>-3.14</v>
      </c>
      <c r="L45" s="56">
        <f t="shared" si="11"/>
        <v>4.8599999999999568</v>
      </c>
      <c r="O45" s="56">
        <f t="shared" ref="O45:O68" si="27">O44-G45</f>
        <v>55.22</v>
      </c>
      <c r="U45" s="71">
        <f t="shared" si="22"/>
        <v>7.7199999999999562</v>
      </c>
      <c r="V45" s="130">
        <f>IF(H44="AFIII",VLOOKUP(D45,Sheet1!$A$4:$H$18,5,FALSE),IF(H44="UBIII",VLOOKUP(D45,Sheet1!$A$4:$H$18,8,FALSE),IF(H44="",VLOOKUP(D45,Sheet1!$A$4:$H$18,2,FALSE),"0")))</f>
        <v>265</v>
      </c>
      <c r="W45" s="130">
        <f t="shared" si="6"/>
        <v>0</v>
      </c>
      <c r="X45" s="48">
        <f t="shared" si="1"/>
        <v>1607</v>
      </c>
      <c r="Y45" s="136" t="str">
        <f t="shared" si="2"/>
        <v>SUCCESS</v>
      </c>
      <c r="Z45" s="136" t="str">
        <f t="shared" si="3"/>
        <v>ERROR</v>
      </c>
      <c r="AA45" s="141">
        <f t="shared" si="7"/>
        <v>147.39327358581477</v>
      </c>
    </row>
    <row r="46" spans="1:27">
      <c r="A46" s="122">
        <f>ROUNDDOWN(IF(N45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295</v>
      </c>
      <c r="B46" s="123">
        <f t="shared" si="4"/>
        <v>15590</v>
      </c>
      <c r="C46" s="124">
        <f>C45+G46</f>
        <v>106.63000000000001</v>
      </c>
      <c r="D46" s="95" t="s">
        <v>19</v>
      </c>
      <c r="E46" s="96">
        <f>IF(H45="AFIII",VLOOKUP($D46,Sheet1!$A$34:$K$48,5,FALSE),IF(H45="UBIII",VLOOKUP($D46,Sheet1!$A$34:$K$48,8,FALSE),VLOOKUP($D46,Sheet1!$A$34:$K$48,2,FALSE)))</f>
        <v>2.86</v>
      </c>
      <c r="F46" s="96">
        <f>ROUNDDOWN((IF(H45="AFIII",VLOOKUP($D46,Sheet1!$A$34:$K$48,5,FALSE),IF(H45="UBIII",VLOOKUP($D46,Sheet1!$A$34:$K$48,8,FALSE),VLOOKUP($D46,Sheet1!$A$34:$K$48,2,FALSE))))*0.85,2)</f>
        <v>2.4300000000000002</v>
      </c>
      <c r="G46" s="96">
        <f t="shared" si="5"/>
        <v>2.86</v>
      </c>
      <c r="H46" s="97" t="s">
        <v>122</v>
      </c>
      <c r="I46" s="96">
        <f>I45-G46</f>
        <v>7.1400000000000006</v>
      </c>
      <c r="J46" s="97" t="s">
        <v>138</v>
      </c>
      <c r="K46" s="96">
        <f t="shared" si="23"/>
        <v>-6</v>
      </c>
      <c r="L46" s="96">
        <f t="shared" si="11"/>
        <v>1.9999999999999569</v>
      </c>
      <c r="M46" s="97"/>
      <c r="N46" s="96"/>
      <c r="O46" s="96">
        <f t="shared" si="27"/>
        <v>52.36</v>
      </c>
      <c r="P46" s="97" t="s">
        <v>17</v>
      </c>
      <c r="Q46" s="96">
        <v>24</v>
      </c>
      <c r="R46" s="96"/>
      <c r="S46" s="97"/>
      <c r="T46" s="96"/>
      <c r="U46" s="98">
        <f t="shared" si="22"/>
        <v>4.8599999999999568</v>
      </c>
      <c r="V46" s="132">
        <f>IF(H45="AFIII",VLOOKUP(D46,Sheet1!$A$4:$H$18,5,FALSE),IF(H45="UBIII",VLOOKUP(D46,Sheet1!$A$4:$H$18,8,FALSE),IF(H45="",VLOOKUP(D46,Sheet1!$A$4:$H$18,2,FALSE),"0")))</f>
        <v>1060</v>
      </c>
      <c r="W46" s="132">
        <f t="shared" si="6"/>
        <v>7033</v>
      </c>
      <c r="X46" s="99">
        <f t="shared" si="1"/>
        <v>7580</v>
      </c>
      <c r="Y46" s="140" t="str">
        <f t="shared" si="2"/>
        <v>SUCCESS</v>
      </c>
      <c r="Z46" s="140" t="str">
        <f t="shared" si="3"/>
        <v>ERROR</v>
      </c>
      <c r="AA46" s="141">
        <f t="shared" si="7"/>
        <v>146.2065084872925</v>
      </c>
    </row>
    <row r="47" spans="1:27">
      <c r="A47" s="112">
        <f>ROUNDDOWN(IF(N46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168</v>
      </c>
      <c r="B47" s="113">
        <f t="shared" si="4"/>
        <v>15758</v>
      </c>
      <c r="C47" s="118">
        <f>C46+G47</f>
        <v>109.02000000000001</v>
      </c>
      <c r="D47" s="40" t="s">
        <v>4</v>
      </c>
      <c r="E47" s="56">
        <f>IF(H46="AFIII",VLOOKUP($D47,Sheet1!$A$34:$K$48,5,FALSE),IF(H46="UBIII",VLOOKUP($D47,Sheet1!$A$34:$K$48,8,FALSE),VLOOKUP($D47,Sheet1!$A$34:$K$48,2,FALSE)))</f>
        <v>1.67</v>
      </c>
      <c r="F47" s="56">
        <f>ROUNDDOWN((IF(H46="AFIII",VLOOKUP($D47,Sheet1!$A$34:$K$48,5,FALSE),IF(H46="UBIII",VLOOKUP($D47,Sheet1!$A$34:$K$48,8,FALSE),VLOOKUP($D47,Sheet1!$A$34:$K$48,2,FALSE))))*0.85,2)</f>
        <v>1.41</v>
      </c>
      <c r="G47" s="56">
        <f t="shared" si="5"/>
        <v>2.39</v>
      </c>
      <c r="H47" s="61" t="s">
        <v>84</v>
      </c>
      <c r="I47" s="56">
        <v>10</v>
      </c>
      <c r="J47" s="61" t="s">
        <v>105</v>
      </c>
      <c r="K47" s="56">
        <v>30</v>
      </c>
      <c r="L47" s="56">
        <v>90</v>
      </c>
      <c r="O47" s="56">
        <f t="shared" si="27"/>
        <v>49.97</v>
      </c>
      <c r="Q47" s="56">
        <f t="shared" ref="Q47:Q54" si="28">Q46-G47</f>
        <v>21.61</v>
      </c>
      <c r="S47" s="61" t="s">
        <v>141</v>
      </c>
      <c r="U47" s="71">
        <f t="shared" si="22"/>
        <v>2.4699999999999567</v>
      </c>
      <c r="V47" s="130">
        <f>IF(H46="AFIII",VLOOKUP(D47,Sheet1!$A$4:$H$18,5,FALSE),IF(H46="UBIII",VLOOKUP(D47,Sheet1!$A$4:$H$18,8,FALSE),IF(H46="",VLOOKUP(D47,Sheet1!$A$4:$H$18,2,FALSE),"0")))</f>
        <v>442</v>
      </c>
      <c r="W47" s="130">
        <f t="shared" si="6"/>
        <v>7033</v>
      </c>
      <c r="X47" s="48">
        <f t="shared" si="1"/>
        <v>11064</v>
      </c>
      <c r="Y47" s="136" t="str">
        <f t="shared" si="2"/>
        <v>SUCCESS</v>
      </c>
      <c r="Z47" s="136" t="str">
        <f t="shared" si="3"/>
        <v>ERROR</v>
      </c>
      <c r="AA47" s="141">
        <f t="shared" si="7"/>
        <v>144.54228581911573</v>
      </c>
    </row>
    <row r="48" spans="1:27">
      <c r="A48" s="112">
        <f>ROUNDDOWN(IF(N47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504</v>
      </c>
      <c r="B48" s="113">
        <f t="shared" si="4"/>
        <v>16262</v>
      </c>
      <c r="C48" s="118">
        <f>C47+G48</f>
        <v>111.88000000000001</v>
      </c>
      <c r="D48" s="40" t="s">
        <v>6</v>
      </c>
      <c r="E48" s="56">
        <f>IF(H47="AFIII",VLOOKUP($D48,Sheet1!$A$34:$K$48,5,FALSE),IF(H47="UBIII",VLOOKUP($D48,Sheet1!$A$34:$K$48,8,FALSE),VLOOKUP($D48,Sheet1!$A$34:$K$48,2,FALSE)))</f>
        <v>2.86</v>
      </c>
      <c r="F48" s="56">
        <f>ROUNDDOWN((IF(H47="AFIII",VLOOKUP($D48,Sheet1!$A$34:$K$48,5,FALSE),IF(H47="UBIII",VLOOKUP($D48,Sheet1!$A$34:$K$48,8,FALSE),VLOOKUP($D48,Sheet1!$A$34:$K$48,2,FALSE))))*0.85,2)</f>
        <v>2.4300000000000002</v>
      </c>
      <c r="G48" s="56">
        <f t="shared" si="5"/>
        <v>2.86</v>
      </c>
      <c r="H48" s="61" t="s">
        <v>84</v>
      </c>
      <c r="I48" s="56">
        <f>I47-G48</f>
        <v>7.1400000000000006</v>
      </c>
      <c r="K48" s="56">
        <f>K47-G48</f>
        <v>27.14</v>
      </c>
      <c r="L48" s="56">
        <f>L47-G48</f>
        <v>87.14</v>
      </c>
      <c r="O48" s="56">
        <f t="shared" si="27"/>
        <v>47.11</v>
      </c>
      <c r="Q48" s="56">
        <f t="shared" si="28"/>
        <v>18.75</v>
      </c>
      <c r="S48" s="61" t="s">
        <v>87</v>
      </c>
      <c r="T48" s="56">
        <v>30</v>
      </c>
      <c r="U48" s="71">
        <v>90</v>
      </c>
      <c r="V48" s="130">
        <f>IF(H47="AFIII",VLOOKUP(D48,Sheet1!$A$4:$H$18,5,FALSE),IF(H47="UBIII",VLOOKUP(D48,Sheet1!$A$4:$H$18,8,FALSE),IF(H47="",VLOOKUP(D48,Sheet1!$A$4:$H$18,2,FALSE),"0")))</f>
        <v>1768</v>
      </c>
      <c r="W48" s="130">
        <f t="shared" si="6"/>
        <v>0</v>
      </c>
      <c r="X48" s="48">
        <f t="shared" si="1"/>
        <v>9296</v>
      </c>
      <c r="Y48" s="136" t="str">
        <f t="shared" si="2"/>
        <v>SUCCESS</v>
      </c>
      <c r="Z48" s="136" t="str">
        <f t="shared" si="3"/>
        <v>SUCCESS</v>
      </c>
      <c r="AA48" s="141">
        <f t="shared" si="7"/>
        <v>145.3521630318198</v>
      </c>
    </row>
    <row r="49" spans="1:27">
      <c r="A49" s="112">
        <f>ROUNDDOWN(IF(N48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504</v>
      </c>
      <c r="B49" s="113">
        <f t="shared" si="4"/>
        <v>16766</v>
      </c>
      <c r="C49" s="118">
        <f>C48+G49</f>
        <v>114.31000000000002</v>
      </c>
      <c r="D49" s="40" t="s">
        <v>6</v>
      </c>
      <c r="E49" s="56">
        <f>IF(H48="AFIII",VLOOKUP($D49,Sheet1!$A$34:$K$48,5,FALSE),IF(H48="UBIII",VLOOKUP($D49,Sheet1!$A$34:$K$48,8,FALSE),VLOOKUP($D49,Sheet1!$A$34:$K$48,2,FALSE)))</f>
        <v>2.86</v>
      </c>
      <c r="F49" s="56">
        <f>ROUNDDOWN((IF(H48="AFIII",VLOOKUP($D49,Sheet1!$A$34:$K$48,5,FALSE),IF(H48="UBIII",VLOOKUP($D49,Sheet1!$A$34:$K$48,8,FALSE),VLOOKUP($D49,Sheet1!$A$34:$K$48,2,FALSE))))*0.85,2)</f>
        <v>2.4300000000000002</v>
      </c>
      <c r="G49" s="56">
        <f t="shared" si="5"/>
        <v>2.4300000000000002</v>
      </c>
      <c r="H49" s="61" t="s">
        <v>84</v>
      </c>
      <c r="I49" s="56">
        <f>I48-G49</f>
        <v>4.7100000000000009</v>
      </c>
      <c r="K49" s="56">
        <f t="shared" ref="K49:K111" si="29">K48-G49</f>
        <v>24.71</v>
      </c>
      <c r="L49" s="56">
        <f t="shared" ref="L49:L111" si="30">L48-G49</f>
        <v>84.71</v>
      </c>
      <c r="O49" s="56">
        <f t="shared" si="27"/>
        <v>44.68</v>
      </c>
      <c r="P49" s="61" t="s">
        <v>131</v>
      </c>
      <c r="Q49" s="56">
        <f t="shared" si="28"/>
        <v>16.32</v>
      </c>
      <c r="R49" s="56">
        <v>60</v>
      </c>
      <c r="S49" s="61" t="s">
        <v>87</v>
      </c>
      <c r="T49" s="56">
        <f>T48-G49</f>
        <v>27.57</v>
      </c>
      <c r="U49" s="71">
        <f>U48-G49</f>
        <v>87.57</v>
      </c>
      <c r="V49" s="130">
        <f>IF(H48="AFIII",VLOOKUP(D49,Sheet1!$A$4:$H$18,5,FALSE),IF(H48="UBIII",VLOOKUP(D49,Sheet1!$A$4:$H$18,8,FALSE),IF(H48="",VLOOKUP(D49,Sheet1!$A$4:$H$18,2,FALSE),"0")))</f>
        <v>1768</v>
      </c>
      <c r="W49" s="130">
        <f t="shared" si="6"/>
        <v>0</v>
      </c>
      <c r="X49" s="48">
        <f t="shared" si="1"/>
        <v>7528</v>
      </c>
      <c r="Y49" s="136" t="str">
        <f t="shared" si="2"/>
        <v>SUCCESS</v>
      </c>
      <c r="Z49" s="136" t="str">
        <f t="shared" si="3"/>
        <v>SUCCESS</v>
      </c>
      <c r="AA49" s="141">
        <f t="shared" si="7"/>
        <v>146.67133234187733</v>
      </c>
    </row>
    <row r="50" spans="1:27">
      <c r="A50" s="112">
        <f>ROUNDDOWN(IF(N49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324</v>
      </c>
      <c r="B50" s="113">
        <f t="shared" si="4"/>
        <v>17090</v>
      </c>
      <c r="C50" s="118">
        <f t="shared" ref="C50:C111" si="31">C49+G50</f>
        <v>116.34000000000002</v>
      </c>
      <c r="D50" s="40" t="s">
        <v>1</v>
      </c>
      <c r="E50" s="56">
        <f>IF(H49="AFIII",VLOOKUP($D50,Sheet1!$A$34:$K$48,5,FALSE),IF(H49="UBIII",VLOOKUP($D50,Sheet1!$A$34:$K$48,8,FALSE),VLOOKUP($D50,Sheet1!$A$34:$K$48,2,FALSE)))</f>
        <v>2.39</v>
      </c>
      <c r="F50" s="56">
        <f>ROUNDDOWN((IF(H49="AFIII",VLOOKUP($D50,Sheet1!$A$34:$K$48,5,FALSE),IF(H49="UBIII",VLOOKUP($D50,Sheet1!$A$34:$K$48,8,FALSE),VLOOKUP($D50,Sheet1!$A$34:$K$48,2,FALSE))))*0.85,2)</f>
        <v>2.0299999999999998</v>
      </c>
      <c r="G50" s="56">
        <f t="shared" si="5"/>
        <v>2.0299999999999998</v>
      </c>
      <c r="H50" s="61" t="s">
        <v>84</v>
      </c>
      <c r="I50" s="56">
        <v>10</v>
      </c>
      <c r="K50" s="56">
        <f t="shared" si="29"/>
        <v>22.68</v>
      </c>
      <c r="L50" s="56">
        <f t="shared" si="30"/>
        <v>82.679999999999993</v>
      </c>
      <c r="O50" s="56">
        <f t="shared" si="27"/>
        <v>42.65</v>
      </c>
      <c r="Q50" s="56">
        <f t="shared" si="28"/>
        <v>14.290000000000001</v>
      </c>
      <c r="R50" s="56">
        <f>R49-G50</f>
        <v>57.97</v>
      </c>
      <c r="S50" s="61" t="s">
        <v>87</v>
      </c>
      <c r="T50" s="56">
        <f t="shared" ref="T50:T61" si="32">T49-G50</f>
        <v>25.54</v>
      </c>
      <c r="U50" s="71">
        <f t="shared" ref="U50:U111" si="33">U49-G50</f>
        <v>85.539999999999992</v>
      </c>
      <c r="V50" s="130">
        <f>IF(H49="AFIII",VLOOKUP(D50,Sheet1!$A$4:$H$18,5,FALSE),IF(H49="UBIII",VLOOKUP(D50,Sheet1!$A$4:$H$18,8,FALSE),IF(H49="",VLOOKUP(D50,Sheet1!$A$4:$H$18,2,FALSE),"0")))</f>
        <v>2120</v>
      </c>
      <c r="W50" s="130">
        <f t="shared" si="6"/>
        <v>0</v>
      </c>
      <c r="X50" s="48">
        <f t="shared" si="1"/>
        <v>5408</v>
      </c>
      <c r="Y50" s="136" t="str">
        <f t="shared" si="2"/>
        <v>SUCCESS</v>
      </c>
      <c r="Z50" s="136" t="str">
        <f t="shared" si="3"/>
        <v>SUCCESS</v>
      </c>
      <c r="AA50" s="141">
        <f t="shared" si="7"/>
        <v>146.89702595839779</v>
      </c>
    </row>
    <row r="51" spans="1:27">
      <c r="A51" s="112">
        <f>ROUNDDOWN(IF(N50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432</v>
      </c>
      <c r="B51" s="113">
        <f t="shared" si="4"/>
        <v>17522</v>
      </c>
      <c r="C51" s="118">
        <f t="shared" si="31"/>
        <v>118.37000000000002</v>
      </c>
      <c r="D51" s="40" t="s">
        <v>129</v>
      </c>
      <c r="E51" s="56">
        <f>IF(H50="AFIII",VLOOKUP($D51,Sheet1!$A$34:$K$48,5,FALSE),IF(H50="UBIII",VLOOKUP($D51,Sheet1!$A$34:$K$48,8,FALSE),VLOOKUP($D51,Sheet1!$A$34:$K$48,2,FALSE)))</f>
        <v>2.39</v>
      </c>
      <c r="F51" s="56">
        <f>ROUNDDOWN((IF(H50="AFIII",VLOOKUP($D51,Sheet1!$A$34:$K$48,5,FALSE),IF(H50="UBIII",VLOOKUP($D51,Sheet1!$A$34:$K$48,8,FALSE),VLOOKUP($D51,Sheet1!$A$34:$K$48,2,FALSE))))*0.85,2)</f>
        <v>2.0299999999999998</v>
      </c>
      <c r="G51" s="56">
        <f t="shared" si="5"/>
        <v>2.0299999999999998</v>
      </c>
      <c r="H51" s="61" t="s">
        <v>84</v>
      </c>
      <c r="I51" s="56">
        <v>10</v>
      </c>
      <c r="K51" s="56">
        <f t="shared" si="29"/>
        <v>20.65</v>
      </c>
      <c r="L51" s="56">
        <f t="shared" si="30"/>
        <v>80.649999999999991</v>
      </c>
      <c r="O51" s="56">
        <f t="shared" si="27"/>
        <v>40.619999999999997</v>
      </c>
      <c r="Q51" s="56">
        <f t="shared" si="28"/>
        <v>12.260000000000002</v>
      </c>
      <c r="R51" s="56">
        <f t="shared" ref="R51:R74" si="34">R50-G51</f>
        <v>55.94</v>
      </c>
      <c r="S51" s="61" t="s">
        <v>87</v>
      </c>
      <c r="T51" s="56">
        <f t="shared" si="32"/>
        <v>23.509999999999998</v>
      </c>
      <c r="U51" s="71">
        <f t="shared" si="33"/>
        <v>83.509999999999991</v>
      </c>
      <c r="V51" s="130">
        <f>IF(H50="AFIII",VLOOKUP(D51,Sheet1!$A$4:$H$18,5,FALSE),IF(H50="UBIII",VLOOKUP(D51,Sheet1!$A$4:$H$18,8,FALSE),IF(H50="",VLOOKUP(D51,Sheet1!$A$4:$H$18,2,FALSE),"0")))</f>
        <v>0</v>
      </c>
      <c r="W51" s="130">
        <f t="shared" si="6"/>
        <v>0</v>
      </c>
      <c r="X51" s="48">
        <f t="shared" si="1"/>
        <v>5408</v>
      </c>
      <c r="Y51" s="136" t="str">
        <f t="shared" si="2"/>
        <v>SUCCESS</v>
      </c>
      <c r="Z51" s="136" t="str">
        <f t="shared" si="3"/>
        <v>SUCCESS</v>
      </c>
      <c r="AA51" s="141">
        <f t="shared" si="7"/>
        <v>148.0273718002872</v>
      </c>
    </row>
    <row r="52" spans="1:27">
      <c r="A52" s="112">
        <f>ROUNDDOWN(IF(N51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504</v>
      </c>
      <c r="B52" s="113">
        <f t="shared" si="4"/>
        <v>18026</v>
      </c>
      <c r="C52" s="118">
        <f t="shared" si="31"/>
        <v>120.80000000000003</v>
      </c>
      <c r="D52" s="40" t="s">
        <v>6</v>
      </c>
      <c r="E52" s="56">
        <f>IF(H51="AFIII",VLOOKUP($D52,Sheet1!$A$34:$K$48,5,FALSE),IF(H51="UBIII",VLOOKUP($D52,Sheet1!$A$34:$K$48,8,FALSE),VLOOKUP($D52,Sheet1!$A$34:$K$48,2,FALSE)))</f>
        <v>2.86</v>
      </c>
      <c r="F52" s="56">
        <f>ROUNDDOWN((IF(H51="AFIII",VLOOKUP($D52,Sheet1!$A$34:$K$48,5,FALSE),IF(H51="UBIII",VLOOKUP($D52,Sheet1!$A$34:$K$48,8,FALSE),VLOOKUP($D52,Sheet1!$A$34:$K$48,2,FALSE))))*0.85,2)</f>
        <v>2.4300000000000002</v>
      </c>
      <c r="G52" s="56">
        <f t="shared" si="5"/>
        <v>2.4300000000000002</v>
      </c>
      <c r="H52" s="61" t="s">
        <v>84</v>
      </c>
      <c r="I52" s="56">
        <f>I51-G52</f>
        <v>7.57</v>
      </c>
      <c r="K52" s="56">
        <f t="shared" si="29"/>
        <v>18.22</v>
      </c>
      <c r="L52" s="56">
        <f t="shared" si="30"/>
        <v>78.219999999999985</v>
      </c>
      <c r="O52" s="56">
        <f t="shared" si="27"/>
        <v>38.19</v>
      </c>
      <c r="Q52" s="56">
        <f t="shared" si="28"/>
        <v>9.8300000000000018</v>
      </c>
      <c r="R52" s="56">
        <f t="shared" si="34"/>
        <v>53.51</v>
      </c>
      <c r="S52" s="61" t="s">
        <v>87</v>
      </c>
      <c r="T52" s="56">
        <f t="shared" si="32"/>
        <v>21.08</v>
      </c>
      <c r="U52" s="71">
        <f t="shared" si="33"/>
        <v>81.079999999999984</v>
      </c>
      <c r="V52" s="130">
        <f>IF(H51="AFIII",VLOOKUP(D52,Sheet1!$A$4:$H$18,5,FALSE),IF(H51="UBIII",VLOOKUP(D52,Sheet1!$A$4:$H$18,8,FALSE),IF(H51="",VLOOKUP(D52,Sheet1!$A$4:$H$18,2,FALSE),"0")))</f>
        <v>1768</v>
      </c>
      <c r="W52" s="130">
        <f t="shared" si="6"/>
        <v>0</v>
      </c>
      <c r="X52" s="48">
        <f t="shared" si="1"/>
        <v>3640</v>
      </c>
      <c r="Y52" s="136" t="str">
        <f t="shared" si="2"/>
        <v>SUCCESS</v>
      </c>
      <c r="Z52" s="136" t="str">
        <f t="shared" si="3"/>
        <v>SUCCESS</v>
      </c>
      <c r="AA52" s="141">
        <f t="shared" si="7"/>
        <v>149.22185430463574</v>
      </c>
    </row>
    <row r="53" spans="1:27">
      <c r="A53" s="112">
        <f>ROUNDDOWN(IF(N52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504</v>
      </c>
      <c r="B53" s="113">
        <f t="shared" si="4"/>
        <v>18530</v>
      </c>
      <c r="C53" s="118">
        <f t="shared" si="31"/>
        <v>123.23000000000003</v>
      </c>
      <c r="D53" s="40" t="s">
        <v>6</v>
      </c>
      <c r="E53" s="56">
        <f>IF(H52="AFIII",VLOOKUP($D53,Sheet1!$A$34:$K$48,5,FALSE),IF(H52="UBIII",VLOOKUP($D53,Sheet1!$A$34:$K$48,8,FALSE),VLOOKUP($D53,Sheet1!$A$34:$K$48,2,FALSE)))</f>
        <v>2.86</v>
      </c>
      <c r="F53" s="56">
        <f>ROUNDDOWN((IF(H52="AFIII",VLOOKUP($D53,Sheet1!$A$34:$K$48,5,FALSE),IF(H52="UBIII",VLOOKUP($D53,Sheet1!$A$34:$K$48,8,FALSE),VLOOKUP($D53,Sheet1!$A$34:$K$48,2,FALSE))))*0.85,2)</f>
        <v>2.4300000000000002</v>
      </c>
      <c r="G53" s="56">
        <f t="shared" si="5"/>
        <v>2.4300000000000002</v>
      </c>
      <c r="H53" s="61" t="s">
        <v>84</v>
      </c>
      <c r="I53" s="56">
        <f>I52-G53</f>
        <v>5.1400000000000006</v>
      </c>
      <c r="K53" s="56">
        <f t="shared" si="29"/>
        <v>15.79</v>
      </c>
      <c r="L53" s="56">
        <f t="shared" si="30"/>
        <v>75.789999999999978</v>
      </c>
      <c r="O53" s="56">
        <f t="shared" si="27"/>
        <v>35.76</v>
      </c>
      <c r="Q53" s="56">
        <f t="shared" si="28"/>
        <v>7.4000000000000021</v>
      </c>
      <c r="R53" s="56">
        <f t="shared" si="34"/>
        <v>51.08</v>
      </c>
      <c r="S53" s="61" t="s">
        <v>87</v>
      </c>
      <c r="T53" s="56">
        <f t="shared" si="32"/>
        <v>18.649999999999999</v>
      </c>
      <c r="U53" s="71">
        <f t="shared" si="33"/>
        <v>78.649999999999977</v>
      </c>
      <c r="V53" s="130">
        <f>IF(H52="AFIII",VLOOKUP(D53,Sheet1!$A$4:$H$18,5,FALSE),IF(H52="UBIII",VLOOKUP(D53,Sheet1!$A$4:$H$18,8,FALSE),IF(H52="",VLOOKUP(D53,Sheet1!$A$4:$H$18,2,FALSE),"0")))</f>
        <v>1768</v>
      </c>
      <c r="W53" s="130">
        <f t="shared" si="6"/>
        <v>0</v>
      </c>
      <c r="X53" s="48">
        <f t="shared" si="1"/>
        <v>1872</v>
      </c>
      <c r="Y53" s="136" t="str">
        <f t="shared" si="2"/>
        <v>SUCCESS</v>
      </c>
      <c r="Z53" s="136" t="str">
        <f t="shared" si="3"/>
        <v>SUCCESS</v>
      </c>
      <c r="AA53" s="141">
        <f t="shared" si="7"/>
        <v>150.36922827233624</v>
      </c>
    </row>
    <row r="54" spans="1:27">
      <c r="A54" s="112">
        <f>ROUNDDOWN(IF(N53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168</v>
      </c>
      <c r="B54" s="113">
        <f t="shared" si="4"/>
        <v>18698</v>
      </c>
      <c r="C54" s="118">
        <f t="shared" si="31"/>
        <v>125.26000000000003</v>
      </c>
      <c r="D54" s="40" t="s">
        <v>12</v>
      </c>
      <c r="E54" s="56">
        <f>IF(H53="AFIII",VLOOKUP($D54,Sheet1!$A$34:$K$48,5,FALSE),IF(H53="UBIII",VLOOKUP($D54,Sheet1!$A$34:$K$48,8,FALSE),VLOOKUP($D54,Sheet1!$A$34:$K$48,2,FALSE)))</f>
        <v>1.67</v>
      </c>
      <c r="F54" s="56">
        <f>ROUNDDOWN((IF(H53="AFIII",VLOOKUP($D54,Sheet1!$A$34:$K$48,5,FALSE),IF(H53="UBIII",VLOOKUP($D54,Sheet1!$A$34:$K$48,8,FALSE),VLOOKUP($D54,Sheet1!$A$34:$K$48,2,FALSE))))*0.85,2)</f>
        <v>1.41</v>
      </c>
      <c r="G54" s="56">
        <f t="shared" si="5"/>
        <v>2.0299999999999998</v>
      </c>
      <c r="H54" s="61" t="s">
        <v>122</v>
      </c>
      <c r="I54" s="56">
        <v>10</v>
      </c>
      <c r="K54" s="56">
        <f t="shared" si="29"/>
        <v>13.76</v>
      </c>
      <c r="L54" s="56">
        <f t="shared" si="30"/>
        <v>73.759999999999977</v>
      </c>
      <c r="O54" s="56">
        <f t="shared" si="27"/>
        <v>33.729999999999997</v>
      </c>
      <c r="Q54" s="56">
        <f t="shared" si="28"/>
        <v>5.3700000000000028</v>
      </c>
      <c r="R54" s="56">
        <f t="shared" si="34"/>
        <v>49.05</v>
      </c>
      <c r="S54" s="61" t="s">
        <v>87</v>
      </c>
      <c r="T54" s="56">
        <f t="shared" si="32"/>
        <v>16.619999999999997</v>
      </c>
      <c r="U54" s="71">
        <f t="shared" si="33"/>
        <v>76.619999999999976</v>
      </c>
      <c r="V54" s="130">
        <f>IF(H53="AFIII",VLOOKUP(D54,Sheet1!$A$4:$H$18,5,FALSE),IF(H53="UBIII",VLOOKUP(D54,Sheet1!$A$4:$H$18,8,FALSE),IF(H53="",VLOOKUP(D54,Sheet1!$A$4:$H$18,2,FALSE),"0")))</f>
        <v>265</v>
      </c>
      <c r="W54" s="130">
        <f t="shared" si="6"/>
        <v>0</v>
      </c>
      <c r="X54" s="48">
        <f t="shared" si="1"/>
        <v>1607</v>
      </c>
      <c r="Y54" s="136" t="str">
        <f t="shared" si="2"/>
        <v>SUCCESS</v>
      </c>
      <c r="Z54" s="136" t="str">
        <f t="shared" si="3"/>
        <v>SUCCESS</v>
      </c>
      <c r="AA54" s="141">
        <f t="shared" si="7"/>
        <v>149.27351109691838</v>
      </c>
    </row>
    <row r="55" spans="1:27">
      <c r="A55" s="112">
        <f>ROUNDDOWN(IF(N54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340</v>
      </c>
      <c r="B55" s="113">
        <f t="shared" si="4"/>
        <v>19038</v>
      </c>
      <c r="C55" s="118">
        <f t="shared" si="31"/>
        <v>128.09000000000003</v>
      </c>
      <c r="D55" s="40" t="s">
        <v>21</v>
      </c>
      <c r="E55" s="56">
        <f>IF(H54="AFIII",VLOOKUP($D55,Sheet1!$A$34:$K$48,5,FALSE),IF(H54="UBIII",VLOOKUP($D55,Sheet1!$A$34:$K$48,8,FALSE),VLOOKUP($D55,Sheet1!$A$34:$K$48,2,FALSE)))</f>
        <v>3.34</v>
      </c>
      <c r="F55" s="56">
        <f>ROUNDDOWN((IF(H54="AFIII",VLOOKUP($D55,Sheet1!$A$34:$K$48,5,FALSE),IF(H54="UBIII",VLOOKUP($D55,Sheet1!$A$34:$K$48,8,FALSE),VLOOKUP($D55,Sheet1!$A$34:$K$48,2,FALSE))))*0.85,2)</f>
        <v>2.83</v>
      </c>
      <c r="G55" s="56">
        <f t="shared" si="5"/>
        <v>2.83</v>
      </c>
      <c r="H55" s="61" t="s">
        <v>122</v>
      </c>
      <c r="I55" s="56">
        <f>I54-G55</f>
        <v>7.17</v>
      </c>
      <c r="K55" s="56">
        <f t="shared" si="29"/>
        <v>10.93</v>
      </c>
      <c r="L55" s="56">
        <f t="shared" si="30"/>
        <v>70.929999999999978</v>
      </c>
      <c r="O55" s="56">
        <f t="shared" si="27"/>
        <v>30.9</v>
      </c>
      <c r="P55" s="61" t="s">
        <v>17</v>
      </c>
      <c r="Q55" s="56">
        <v>24</v>
      </c>
      <c r="R55" s="56">
        <f t="shared" si="34"/>
        <v>46.22</v>
      </c>
      <c r="S55" s="61" t="s">
        <v>87</v>
      </c>
      <c r="T55" s="56">
        <f t="shared" si="32"/>
        <v>13.789999999999997</v>
      </c>
      <c r="U55" s="71">
        <f t="shared" si="33"/>
        <v>73.789999999999978</v>
      </c>
      <c r="V55" s="130">
        <f>IF(H54="AFIII",VLOOKUP(D55,Sheet1!$A$4:$H$18,5,FALSE),IF(H54="UBIII",VLOOKUP(D55,Sheet1!$A$4:$H$18,8,FALSE),IF(H54="",VLOOKUP(D55,Sheet1!$A$4:$H$18,2,FALSE),"0")))</f>
        <v>1414</v>
      </c>
      <c r="W55" s="130">
        <f t="shared" si="6"/>
        <v>7033</v>
      </c>
      <c r="X55" s="48">
        <f t="shared" si="1"/>
        <v>7226</v>
      </c>
      <c r="Y55" s="136" t="str">
        <f t="shared" si="2"/>
        <v>SUCCESS</v>
      </c>
      <c r="Z55" s="136" t="str">
        <f t="shared" si="3"/>
        <v>SUCCESS</v>
      </c>
      <c r="AA55" s="141">
        <f t="shared" si="7"/>
        <v>148.62986962292135</v>
      </c>
    </row>
    <row r="56" spans="1:27">
      <c r="A56" s="119">
        <f>ROUNDDOWN(IF(N55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280</v>
      </c>
      <c r="B56" s="120">
        <f t="shared" si="4"/>
        <v>19318</v>
      </c>
      <c r="C56" s="121">
        <f t="shared" si="31"/>
        <v>130.52000000000004</v>
      </c>
      <c r="D56" s="106" t="s">
        <v>14</v>
      </c>
      <c r="E56" s="107">
        <f>IF(H55="AFIII",VLOOKUP($D56,Sheet1!$A$34:$K$48,5,FALSE),IF(H55="UBIII",VLOOKUP($D56,Sheet1!$A$34:$K$48,8,FALSE),VLOOKUP($D56,Sheet1!$A$34:$K$48,2,FALSE)))</f>
        <v>2.86</v>
      </c>
      <c r="F56" s="107">
        <f>ROUNDDOWN((IF(H55="AFIII",VLOOKUP($D56,Sheet1!$A$34:$K$48,5,FALSE),IF(H55="UBIII",VLOOKUP($D56,Sheet1!$A$34:$K$48,8,FALSE),VLOOKUP($D56,Sheet1!$A$34:$K$48,2,FALSE))))*0.85,2)</f>
        <v>2.4300000000000002</v>
      </c>
      <c r="G56" s="107">
        <f t="shared" si="5"/>
        <v>2.4300000000000002</v>
      </c>
      <c r="H56" s="108" t="s">
        <v>122</v>
      </c>
      <c r="I56" s="107">
        <f>I55-G56</f>
        <v>4.74</v>
      </c>
      <c r="J56" s="108"/>
      <c r="K56" s="107">
        <v>25</v>
      </c>
      <c r="L56" s="107">
        <f t="shared" si="30"/>
        <v>68.499999999999972</v>
      </c>
      <c r="M56" s="108"/>
      <c r="N56" s="107"/>
      <c r="O56" s="107">
        <f t="shared" si="27"/>
        <v>28.47</v>
      </c>
      <c r="P56" s="108"/>
      <c r="Q56" s="107">
        <f>Q55-G56</f>
        <v>21.57</v>
      </c>
      <c r="R56" s="107">
        <f t="shared" si="34"/>
        <v>43.79</v>
      </c>
      <c r="S56" s="108" t="s">
        <v>87</v>
      </c>
      <c r="T56" s="107">
        <f t="shared" si="32"/>
        <v>11.359999999999998</v>
      </c>
      <c r="U56" s="109">
        <f t="shared" si="33"/>
        <v>71.359999999999971</v>
      </c>
      <c r="V56" s="131">
        <f>IF(H55="AFIII",VLOOKUP(D56,Sheet1!$A$4:$H$18,5,FALSE),IF(H55="UBIII",VLOOKUP(D56,Sheet1!$A$4:$H$18,8,FALSE),IF(H55="",VLOOKUP(D56,Sheet1!$A$4:$H$18,2,FALSE),"0")))</f>
        <v>884</v>
      </c>
      <c r="W56" s="131">
        <f t="shared" si="6"/>
        <v>7033</v>
      </c>
      <c r="X56" s="110">
        <f t="shared" si="1"/>
        <v>10622</v>
      </c>
      <c r="Y56" s="139" t="str">
        <f t="shared" si="2"/>
        <v>SUCCESS</v>
      </c>
      <c r="Z56" s="139" t="str">
        <f t="shared" si="3"/>
        <v>SUCCESS</v>
      </c>
      <c r="AA56" s="141">
        <f t="shared" si="7"/>
        <v>148.00796812748999</v>
      </c>
    </row>
    <row r="57" spans="1:27">
      <c r="A57" s="112">
        <f>ROUNDDOWN(IF(N56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168</v>
      </c>
      <c r="B57" s="113">
        <f t="shared" si="4"/>
        <v>19486</v>
      </c>
      <c r="C57" s="118">
        <f t="shared" si="31"/>
        <v>132.55000000000004</v>
      </c>
      <c r="D57" s="40" t="s">
        <v>4</v>
      </c>
      <c r="E57" s="56">
        <f>IF(H56="AFIII",VLOOKUP($D57,Sheet1!$A$34:$K$48,5,FALSE),IF(H56="UBIII",VLOOKUP($D57,Sheet1!$A$34:$K$48,8,FALSE),VLOOKUP($D57,Sheet1!$A$34:$K$48,2,FALSE)))</f>
        <v>1.67</v>
      </c>
      <c r="F57" s="56">
        <f>ROUNDDOWN((IF(H56="AFIII",VLOOKUP($D57,Sheet1!$A$34:$K$48,5,FALSE),IF(H56="UBIII",VLOOKUP($D57,Sheet1!$A$34:$K$48,8,FALSE),VLOOKUP($D57,Sheet1!$A$34:$K$48,2,FALSE))))*0.85,2)</f>
        <v>1.41</v>
      </c>
      <c r="G57" s="56">
        <f t="shared" si="5"/>
        <v>2.0299999999999998</v>
      </c>
      <c r="H57" s="61" t="s">
        <v>84</v>
      </c>
      <c r="I57" s="56">
        <v>10</v>
      </c>
      <c r="K57" s="56">
        <f t="shared" si="29"/>
        <v>22.97</v>
      </c>
      <c r="L57" s="56">
        <f t="shared" si="30"/>
        <v>66.46999999999997</v>
      </c>
      <c r="O57" s="56">
        <f t="shared" si="27"/>
        <v>26.439999999999998</v>
      </c>
      <c r="Q57" s="56">
        <f t="shared" ref="Q57:Q73" si="35">Q56-G57</f>
        <v>19.54</v>
      </c>
      <c r="R57" s="56">
        <f t="shared" si="34"/>
        <v>41.76</v>
      </c>
      <c r="S57" s="61" t="s">
        <v>87</v>
      </c>
      <c r="T57" s="56">
        <f t="shared" si="32"/>
        <v>9.3299999999999983</v>
      </c>
      <c r="U57" s="71">
        <f t="shared" si="33"/>
        <v>69.32999999999997</v>
      </c>
      <c r="V57" s="130">
        <f>IF(H56="AFIII",VLOOKUP(D57,Sheet1!$A$4:$H$18,5,FALSE),IF(H56="UBIII",VLOOKUP(D57,Sheet1!$A$4:$H$18,8,FALSE),IF(H56="",VLOOKUP(D57,Sheet1!$A$4:$H$18,2,FALSE),"0")))</f>
        <v>442</v>
      </c>
      <c r="W57" s="130">
        <f t="shared" si="6"/>
        <v>7033</v>
      </c>
      <c r="X57" s="48">
        <f t="shared" si="1"/>
        <v>11064</v>
      </c>
      <c r="Y57" s="136" t="str">
        <f t="shared" si="2"/>
        <v>SUCCESS</v>
      </c>
      <c r="Z57" s="136" t="str">
        <f t="shared" si="3"/>
        <v>SUCCESS</v>
      </c>
      <c r="AA57" s="141">
        <f t="shared" si="7"/>
        <v>147.00867597133154</v>
      </c>
    </row>
    <row r="58" spans="1:27">
      <c r="A58" s="112">
        <f>ROUNDDOWN(IF(N57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504</v>
      </c>
      <c r="B58" s="113">
        <f t="shared" si="4"/>
        <v>19990</v>
      </c>
      <c r="C58" s="118">
        <f t="shared" si="31"/>
        <v>134.98000000000005</v>
      </c>
      <c r="D58" s="40" t="s">
        <v>6</v>
      </c>
      <c r="E58" s="56">
        <f>IF(H57="AFIII",VLOOKUP($D58,Sheet1!$A$34:$K$48,5,FALSE),IF(H57="UBIII",VLOOKUP($D58,Sheet1!$A$34:$K$48,8,FALSE),VLOOKUP($D58,Sheet1!$A$34:$K$48,2,FALSE)))</f>
        <v>2.86</v>
      </c>
      <c r="F58" s="56">
        <f>ROUNDDOWN((IF(H57="AFIII",VLOOKUP($D58,Sheet1!$A$34:$K$48,5,FALSE),IF(H57="UBIII",VLOOKUP($D58,Sheet1!$A$34:$K$48,8,FALSE),VLOOKUP($D58,Sheet1!$A$34:$K$48,2,FALSE))))*0.85,2)</f>
        <v>2.4300000000000002</v>
      </c>
      <c r="G58" s="56">
        <f t="shared" si="5"/>
        <v>2.4300000000000002</v>
      </c>
      <c r="H58" s="61" t="s">
        <v>84</v>
      </c>
      <c r="I58" s="56">
        <f>I57-G58</f>
        <v>7.57</v>
      </c>
      <c r="K58" s="56">
        <f t="shared" si="29"/>
        <v>20.54</v>
      </c>
      <c r="L58" s="56">
        <f t="shared" si="30"/>
        <v>64.039999999999964</v>
      </c>
      <c r="O58" s="56">
        <f t="shared" si="27"/>
        <v>24.009999999999998</v>
      </c>
      <c r="Q58" s="56">
        <f t="shared" si="35"/>
        <v>17.11</v>
      </c>
      <c r="R58" s="56">
        <f t="shared" si="34"/>
        <v>39.33</v>
      </c>
      <c r="S58" s="61" t="s">
        <v>87</v>
      </c>
      <c r="T58" s="56">
        <f t="shared" si="32"/>
        <v>6.8999999999999986</v>
      </c>
      <c r="U58" s="71">
        <f t="shared" si="33"/>
        <v>66.899999999999963</v>
      </c>
      <c r="V58" s="130">
        <f>IF(H57="AFIII",VLOOKUP(D58,Sheet1!$A$4:$H$18,5,FALSE),IF(H57="UBIII",VLOOKUP(D58,Sheet1!$A$4:$H$18,8,FALSE),IF(H57="",VLOOKUP(D58,Sheet1!$A$4:$H$18,2,FALSE),"0")))</f>
        <v>1768</v>
      </c>
      <c r="W58" s="130">
        <f t="shared" si="6"/>
        <v>0</v>
      </c>
      <c r="X58" s="48">
        <f t="shared" si="1"/>
        <v>9296</v>
      </c>
      <c r="Y58" s="136" t="str">
        <f t="shared" si="2"/>
        <v>SUCCESS</v>
      </c>
      <c r="Z58" s="136" t="str">
        <f t="shared" si="3"/>
        <v>SUCCESS</v>
      </c>
      <c r="AA58" s="141">
        <f t="shared" si="7"/>
        <v>148.09601422432948</v>
      </c>
    </row>
    <row r="59" spans="1:27">
      <c r="A59" s="112">
        <f>ROUNDDOWN(IF(N58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504</v>
      </c>
      <c r="B59" s="113">
        <f t="shared" si="4"/>
        <v>20494</v>
      </c>
      <c r="C59" s="118">
        <f t="shared" si="31"/>
        <v>137.41000000000005</v>
      </c>
      <c r="D59" s="40" t="s">
        <v>6</v>
      </c>
      <c r="E59" s="56">
        <f>IF(H58="AFIII",VLOOKUP($D59,Sheet1!$A$34:$K$48,5,FALSE),IF(H58="UBIII",VLOOKUP($D59,Sheet1!$A$34:$K$48,8,FALSE),VLOOKUP($D59,Sheet1!$A$34:$K$48,2,FALSE)))</f>
        <v>2.86</v>
      </c>
      <c r="F59" s="56">
        <f>ROUNDDOWN((IF(H58="AFIII",VLOOKUP($D59,Sheet1!$A$34:$K$48,5,FALSE),IF(H58="UBIII",VLOOKUP($D59,Sheet1!$A$34:$K$48,8,FALSE),VLOOKUP($D59,Sheet1!$A$34:$K$48,2,FALSE))))*0.85,2)</f>
        <v>2.4300000000000002</v>
      </c>
      <c r="G59" s="56">
        <f t="shared" si="5"/>
        <v>2.4300000000000002</v>
      </c>
      <c r="H59" s="61" t="s">
        <v>84</v>
      </c>
      <c r="I59" s="56">
        <f t="shared" ref="I59:I72" si="36">I58-G59</f>
        <v>5.1400000000000006</v>
      </c>
      <c r="K59" s="56">
        <f t="shared" si="29"/>
        <v>18.11</v>
      </c>
      <c r="L59" s="56">
        <f t="shared" si="30"/>
        <v>61.609999999999964</v>
      </c>
      <c r="O59" s="56">
        <f t="shared" si="27"/>
        <v>21.58</v>
      </c>
      <c r="Q59" s="56">
        <f t="shared" si="35"/>
        <v>14.68</v>
      </c>
      <c r="R59" s="56">
        <f t="shared" si="34"/>
        <v>36.9</v>
      </c>
      <c r="S59" s="61" t="s">
        <v>87</v>
      </c>
      <c r="T59" s="56">
        <f t="shared" si="32"/>
        <v>4.4699999999999989</v>
      </c>
      <c r="U59" s="71">
        <f t="shared" si="33"/>
        <v>64.469999999999956</v>
      </c>
      <c r="V59" s="130">
        <f>IF(H58="AFIII",VLOOKUP(D59,Sheet1!$A$4:$H$18,5,FALSE),IF(H58="UBIII",VLOOKUP(D59,Sheet1!$A$4:$H$18,8,FALSE),IF(H58="",VLOOKUP(D59,Sheet1!$A$4:$H$18,2,FALSE),"0")))</f>
        <v>1768</v>
      </c>
      <c r="W59" s="130">
        <f t="shared" si="6"/>
        <v>0</v>
      </c>
      <c r="X59" s="48">
        <f t="shared" si="1"/>
        <v>7528</v>
      </c>
      <c r="Y59" s="136" t="str">
        <f t="shared" si="2"/>
        <v>SUCCESS</v>
      </c>
      <c r="Z59" s="136" t="str">
        <f t="shared" si="3"/>
        <v>SUCCESS</v>
      </c>
      <c r="AA59" s="141">
        <f t="shared" si="7"/>
        <v>149.14489484025901</v>
      </c>
    </row>
    <row r="60" spans="1:27">
      <c r="A60" s="112">
        <f>ROUNDDOWN(IF(N59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324</v>
      </c>
      <c r="B60" s="113">
        <f t="shared" si="4"/>
        <v>20818</v>
      </c>
      <c r="C60" s="118">
        <f t="shared" si="31"/>
        <v>139.44000000000005</v>
      </c>
      <c r="D60" s="40" t="s">
        <v>0</v>
      </c>
      <c r="E60" s="56">
        <f>IF(H59="AFIII",VLOOKUP($D60,Sheet1!$A$34:$K$48,5,FALSE),IF(H59="UBIII",VLOOKUP($D60,Sheet1!$A$34:$K$48,8,FALSE),VLOOKUP($D60,Sheet1!$A$34:$K$48,2,FALSE)))</f>
        <v>2.39</v>
      </c>
      <c r="F60" s="56">
        <f>ROUNDDOWN((IF(H59="AFIII",VLOOKUP($D60,Sheet1!$A$34:$K$48,5,FALSE),IF(H59="UBIII",VLOOKUP($D60,Sheet1!$A$34:$K$48,8,FALSE),VLOOKUP($D60,Sheet1!$A$34:$K$48,2,FALSE))))*0.85,2)</f>
        <v>2.0299999999999998</v>
      </c>
      <c r="G60" s="56">
        <f t="shared" si="5"/>
        <v>2.0299999999999998</v>
      </c>
      <c r="H60" s="61" t="s">
        <v>84</v>
      </c>
      <c r="I60" s="56">
        <v>10</v>
      </c>
      <c r="K60" s="56">
        <f t="shared" si="29"/>
        <v>16.079999999999998</v>
      </c>
      <c r="L60" s="56">
        <f t="shared" si="30"/>
        <v>59.579999999999963</v>
      </c>
      <c r="O60" s="56">
        <f>O59-G60</f>
        <v>19.549999999999997</v>
      </c>
      <c r="Q60" s="56">
        <f t="shared" si="35"/>
        <v>12.65</v>
      </c>
      <c r="R60" s="56">
        <f t="shared" si="34"/>
        <v>34.869999999999997</v>
      </c>
      <c r="S60" s="61" t="s">
        <v>87</v>
      </c>
      <c r="T60" s="56">
        <f t="shared" si="32"/>
        <v>2.4399999999999991</v>
      </c>
      <c r="U60" s="71">
        <f t="shared" si="33"/>
        <v>62.439999999999955</v>
      </c>
      <c r="V60" s="130">
        <f>IF(H59="AFIII",VLOOKUP(D60,Sheet1!$A$4:$H$18,5,FALSE),IF(H59="UBIII",VLOOKUP(D60,Sheet1!$A$4:$H$18,8,FALSE),IF(H59="",VLOOKUP(D60,Sheet1!$A$4:$H$18,2,FALSE),"0")))</f>
        <v>2120</v>
      </c>
      <c r="W60" s="130">
        <f t="shared" si="6"/>
        <v>0</v>
      </c>
      <c r="X60" s="48">
        <f t="shared" si="1"/>
        <v>5408</v>
      </c>
      <c r="Y60" s="136" t="str">
        <f t="shared" si="2"/>
        <v>SUCCESS</v>
      </c>
      <c r="Z60" s="136" t="str">
        <f t="shared" si="3"/>
        <v>SUCCESS</v>
      </c>
      <c r="AA60" s="141">
        <f t="shared" si="7"/>
        <v>149.29718875502002</v>
      </c>
    </row>
    <row r="61" spans="1:27">
      <c r="A61" s="112">
        <f>ROUNDDOWN(IF(N60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504</v>
      </c>
      <c r="B61" s="113">
        <f t="shared" si="4"/>
        <v>21322</v>
      </c>
      <c r="C61" s="118">
        <f t="shared" si="31"/>
        <v>141.87000000000006</v>
      </c>
      <c r="D61" s="40" t="s">
        <v>6</v>
      </c>
      <c r="E61" s="56">
        <f>IF(H60="AFIII",VLOOKUP($D61,Sheet1!$A$34:$K$48,5,FALSE),IF(H60="UBIII",VLOOKUP($D61,Sheet1!$A$34:$K$48,8,FALSE),VLOOKUP($D61,Sheet1!$A$34:$K$48,2,FALSE)))</f>
        <v>2.86</v>
      </c>
      <c r="F61" s="56">
        <f>ROUNDDOWN((IF(H60="AFIII",VLOOKUP($D61,Sheet1!$A$34:$K$48,5,FALSE),IF(H60="UBIII",VLOOKUP($D61,Sheet1!$A$34:$K$48,8,FALSE),VLOOKUP($D61,Sheet1!$A$34:$K$48,2,FALSE))))*0.85,2)</f>
        <v>2.4300000000000002</v>
      </c>
      <c r="G61" s="56">
        <f t="shared" si="5"/>
        <v>2.4300000000000002</v>
      </c>
      <c r="H61" s="61" t="s">
        <v>84</v>
      </c>
      <c r="I61" s="56">
        <f t="shared" si="36"/>
        <v>7.57</v>
      </c>
      <c r="K61" s="56">
        <f>K60-G61</f>
        <v>13.649999999999999</v>
      </c>
      <c r="L61" s="56">
        <f t="shared" si="30"/>
        <v>57.149999999999963</v>
      </c>
      <c r="O61" s="56">
        <f t="shared" si="27"/>
        <v>17.119999999999997</v>
      </c>
      <c r="Q61" s="56">
        <f t="shared" si="35"/>
        <v>10.220000000000001</v>
      </c>
      <c r="R61" s="56">
        <f t="shared" si="34"/>
        <v>32.44</v>
      </c>
      <c r="T61" s="56">
        <f t="shared" si="32"/>
        <v>9.9999999999988987E-3</v>
      </c>
      <c r="U61" s="71">
        <f t="shared" si="33"/>
        <v>60.009999999999955</v>
      </c>
      <c r="V61" s="130">
        <f>IF(H60="AFIII",VLOOKUP(D61,Sheet1!$A$4:$H$18,5,FALSE),IF(H60="UBIII",VLOOKUP(D61,Sheet1!$A$4:$H$18,8,FALSE),IF(H60="",VLOOKUP(D61,Sheet1!$A$4:$H$18,2,FALSE),"0")))</f>
        <v>1768</v>
      </c>
      <c r="W61" s="130">
        <f t="shared" si="6"/>
        <v>0</v>
      </c>
      <c r="X61" s="48">
        <f t="shared" si="1"/>
        <v>3640</v>
      </c>
      <c r="Y61" s="136" t="str">
        <f t="shared" si="2"/>
        <v>SUCCESS</v>
      </c>
      <c r="Z61" s="136" t="str">
        <f t="shared" si="3"/>
        <v>SUCCESS</v>
      </c>
      <c r="AA61" s="141">
        <f t="shared" si="7"/>
        <v>150.29252132233728</v>
      </c>
    </row>
    <row r="62" spans="1:27">
      <c r="A62" s="112">
        <f>ROUNDDOWN(IF(N61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504</v>
      </c>
      <c r="B62" s="113">
        <f t="shared" si="4"/>
        <v>21826</v>
      </c>
      <c r="C62" s="118">
        <f t="shared" si="31"/>
        <v>144.73000000000008</v>
      </c>
      <c r="D62" s="40" t="s">
        <v>6</v>
      </c>
      <c r="E62" s="56">
        <f>IF(H61="AFIII",VLOOKUP($D62,Sheet1!$A$34:$K$48,5,FALSE),IF(H61="UBIII",VLOOKUP($D62,Sheet1!$A$34:$K$48,8,FALSE),VLOOKUP($D62,Sheet1!$A$34:$K$48,2,FALSE)))</f>
        <v>2.86</v>
      </c>
      <c r="F62" s="56">
        <f>ROUNDDOWN((IF(H61="AFIII",VLOOKUP($D62,Sheet1!$A$34:$K$48,5,FALSE),IF(H61="UBIII",VLOOKUP($D62,Sheet1!$A$34:$K$48,8,FALSE),VLOOKUP($D62,Sheet1!$A$34:$K$48,2,FALSE))))*0.85,2)</f>
        <v>2.4300000000000002</v>
      </c>
      <c r="G62" s="56">
        <f>IF(M61="迅速",IF(S61="黒魔紋",$F$1,$E$1),IF(S61="黒魔紋",IF(F62&lt;$F$1,$F$1,F62),IF(E62&lt;$E$1,$E$1,E62)))</f>
        <v>2.86</v>
      </c>
      <c r="H62" s="61" t="s">
        <v>84</v>
      </c>
      <c r="I62" s="56">
        <f t="shared" si="36"/>
        <v>4.7100000000000009</v>
      </c>
      <c r="K62" s="56">
        <f t="shared" si="29"/>
        <v>10.79</v>
      </c>
      <c r="L62" s="56">
        <f t="shared" si="30"/>
        <v>54.289999999999964</v>
      </c>
      <c r="O62" s="56">
        <f t="shared" si="27"/>
        <v>14.259999999999998</v>
      </c>
      <c r="Q62" s="56">
        <f t="shared" si="35"/>
        <v>7.3600000000000012</v>
      </c>
      <c r="R62" s="56">
        <f t="shared" si="34"/>
        <v>29.58</v>
      </c>
      <c r="U62" s="71">
        <f t="shared" si="33"/>
        <v>57.149999999999956</v>
      </c>
      <c r="V62" s="130">
        <f>IF(H61="AFIII",VLOOKUP(D62,Sheet1!$A$4:$H$18,5,FALSE),IF(H61="UBIII",VLOOKUP(D62,Sheet1!$A$4:$H$18,8,FALSE),IF(H61="",VLOOKUP(D62,Sheet1!$A$4:$H$18,2,FALSE),"0")))</f>
        <v>1768</v>
      </c>
      <c r="W62" s="130">
        <f t="shared" si="6"/>
        <v>0</v>
      </c>
      <c r="X62" s="48">
        <f t="shared" si="1"/>
        <v>1872</v>
      </c>
      <c r="Y62" s="136" t="str">
        <f t="shared" si="2"/>
        <v>SUCCESS</v>
      </c>
      <c r="Z62" s="136" t="str">
        <f t="shared" si="3"/>
        <v>SUCCESS</v>
      </c>
      <c r="AA62" s="141">
        <f t="shared" si="7"/>
        <v>150.80494714295577</v>
      </c>
    </row>
    <row r="63" spans="1:27">
      <c r="A63" s="112">
        <f>ROUNDDOWN(IF(N62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168</v>
      </c>
      <c r="B63" s="113">
        <f t="shared" si="4"/>
        <v>21994</v>
      </c>
      <c r="C63" s="118">
        <f t="shared" si="31"/>
        <v>147.12000000000006</v>
      </c>
      <c r="D63" s="40" t="s">
        <v>12</v>
      </c>
      <c r="E63" s="56">
        <f>IF(H62="AFIII",VLOOKUP($D63,Sheet1!$A$34:$K$48,5,FALSE),IF(H62="UBIII",VLOOKUP($D63,Sheet1!$A$34:$K$48,8,FALSE),VLOOKUP($D63,Sheet1!$A$34:$K$48,2,FALSE)))</f>
        <v>1.67</v>
      </c>
      <c r="F63" s="56">
        <f>ROUNDDOWN((IF(H62="AFIII",VLOOKUP($D63,Sheet1!$A$34:$K$48,5,FALSE),IF(H62="UBIII",VLOOKUP($D63,Sheet1!$A$34:$K$48,8,FALSE),VLOOKUP($D63,Sheet1!$A$34:$K$48,2,FALSE))))*0.85,2)</f>
        <v>1.41</v>
      </c>
      <c r="G63" s="56">
        <f t="shared" si="5"/>
        <v>2.39</v>
      </c>
      <c r="H63" s="61" t="s">
        <v>122</v>
      </c>
      <c r="I63" s="56">
        <v>10</v>
      </c>
      <c r="K63" s="56">
        <f t="shared" si="29"/>
        <v>8.3999999999999986</v>
      </c>
      <c r="L63" s="56">
        <f t="shared" si="30"/>
        <v>51.899999999999963</v>
      </c>
      <c r="O63" s="56">
        <f t="shared" si="27"/>
        <v>11.869999999999997</v>
      </c>
      <c r="Q63" s="56">
        <f t="shared" si="35"/>
        <v>4.9700000000000006</v>
      </c>
      <c r="R63" s="56">
        <f t="shared" si="34"/>
        <v>27.189999999999998</v>
      </c>
      <c r="U63" s="71">
        <f t="shared" si="33"/>
        <v>54.759999999999955</v>
      </c>
      <c r="V63" s="130">
        <f>IF(H62="AFIII",VLOOKUP(D63,Sheet1!$A$4:$H$18,5,FALSE),IF(H62="UBIII",VLOOKUP(D63,Sheet1!$A$4:$H$18,8,FALSE),IF(H62="",VLOOKUP(D63,Sheet1!$A$4:$H$18,2,FALSE),"0")))</f>
        <v>265</v>
      </c>
      <c r="W63" s="130">
        <f t="shared" si="6"/>
        <v>0</v>
      </c>
      <c r="X63" s="48">
        <f t="shared" si="1"/>
        <v>1607</v>
      </c>
      <c r="Y63" s="136" t="str">
        <f t="shared" si="2"/>
        <v>SUCCESS</v>
      </c>
      <c r="Z63" s="136" t="str">
        <f t="shared" si="3"/>
        <v>SUCCESS</v>
      </c>
      <c r="AA63" s="141">
        <f t="shared" si="7"/>
        <v>149.49700924415436</v>
      </c>
    </row>
    <row r="64" spans="1:27">
      <c r="A64" s="112">
        <f>ROUNDDOWN(IF(N63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340</v>
      </c>
      <c r="B64" s="113">
        <f t="shared" si="4"/>
        <v>22334</v>
      </c>
      <c r="C64" s="118">
        <f t="shared" si="31"/>
        <v>150.46000000000006</v>
      </c>
      <c r="D64" s="40" t="s">
        <v>21</v>
      </c>
      <c r="E64" s="56">
        <f>IF(H63="AFIII",VLOOKUP($D64,Sheet1!$A$34:$K$48,5,FALSE),IF(H63="UBIII",VLOOKUP($D64,Sheet1!$A$34:$K$48,8,FALSE),VLOOKUP($D64,Sheet1!$A$34:$K$48,2,FALSE)))</f>
        <v>3.34</v>
      </c>
      <c r="F64" s="56">
        <f>ROUNDDOWN((IF(H63="AFIII",VLOOKUP($D64,Sheet1!$A$34:$K$48,5,FALSE),IF(H63="UBIII",VLOOKUP($D64,Sheet1!$A$34:$K$48,8,FALSE),VLOOKUP($D64,Sheet1!$A$34:$K$48,2,FALSE))))*0.85,2)</f>
        <v>2.83</v>
      </c>
      <c r="G64" s="56">
        <f t="shared" si="5"/>
        <v>3.34</v>
      </c>
      <c r="H64" s="61" t="s">
        <v>122</v>
      </c>
      <c r="I64" s="56">
        <f t="shared" si="36"/>
        <v>6.66</v>
      </c>
      <c r="K64" s="56">
        <f t="shared" si="29"/>
        <v>5.0599999999999987</v>
      </c>
      <c r="L64" s="56">
        <f t="shared" si="30"/>
        <v>48.55999999999996</v>
      </c>
      <c r="O64" s="56">
        <f t="shared" si="27"/>
        <v>8.5299999999999976</v>
      </c>
      <c r="P64" s="61" t="s">
        <v>17</v>
      </c>
      <c r="Q64" s="56">
        <v>24</v>
      </c>
      <c r="R64" s="56">
        <f t="shared" si="34"/>
        <v>23.849999999999998</v>
      </c>
      <c r="U64" s="71">
        <f t="shared" si="33"/>
        <v>51.419999999999959</v>
      </c>
      <c r="V64" s="130">
        <f>IF(H63="AFIII",VLOOKUP(D64,Sheet1!$A$4:$H$18,5,FALSE),IF(H63="UBIII",VLOOKUP(D64,Sheet1!$A$4:$H$18,8,FALSE),IF(H63="",VLOOKUP(D64,Sheet1!$A$4:$H$18,2,FALSE),"0")))</f>
        <v>1414</v>
      </c>
      <c r="W64" s="130">
        <f t="shared" si="6"/>
        <v>7033</v>
      </c>
      <c r="X64" s="48">
        <f t="shared" si="1"/>
        <v>7226</v>
      </c>
      <c r="Y64" s="136" t="str">
        <f t="shared" si="2"/>
        <v>SUCCESS</v>
      </c>
      <c r="Z64" s="136" t="str">
        <f t="shared" si="3"/>
        <v>SUCCESS</v>
      </c>
      <c r="AA64" s="141">
        <f t="shared" si="7"/>
        <v>148.43812308919308</v>
      </c>
    </row>
    <row r="65" spans="1:27">
      <c r="A65" s="119">
        <f>ROUNDDOWN(IF(N64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280</v>
      </c>
      <c r="B65" s="120">
        <f t="shared" si="4"/>
        <v>22614</v>
      </c>
      <c r="C65" s="121">
        <f t="shared" si="31"/>
        <v>153.32000000000008</v>
      </c>
      <c r="D65" s="106" t="s">
        <v>14</v>
      </c>
      <c r="E65" s="107">
        <f>IF(H64="AFIII",VLOOKUP($D65,Sheet1!$A$34:$K$48,5,FALSE),IF(H64="UBIII",VLOOKUP($D65,Sheet1!$A$34:$K$48,8,FALSE),VLOOKUP($D65,Sheet1!$A$34:$K$48,2,FALSE)))</f>
        <v>2.86</v>
      </c>
      <c r="F65" s="107">
        <f>ROUNDDOWN((IF(H64="AFIII",VLOOKUP($D65,Sheet1!$A$34:$K$48,5,FALSE),IF(H64="UBIII",VLOOKUP($D65,Sheet1!$A$34:$K$48,8,FALSE),VLOOKUP($D65,Sheet1!$A$34:$K$48,2,FALSE))))*0.85,2)</f>
        <v>2.4300000000000002</v>
      </c>
      <c r="G65" s="107">
        <f t="shared" si="5"/>
        <v>2.86</v>
      </c>
      <c r="H65" s="108" t="s">
        <v>122</v>
      </c>
      <c r="I65" s="107">
        <f t="shared" si="36"/>
        <v>3.8000000000000003</v>
      </c>
      <c r="J65" s="108"/>
      <c r="K65" s="107">
        <v>20</v>
      </c>
      <c r="L65" s="107">
        <f t="shared" si="30"/>
        <v>45.69999999999996</v>
      </c>
      <c r="M65" s="108"/>
      <c r="N65" s="107"/>
      <c r="O65" s="107">
        <f t="shared" si="27"/>
        <v>5.6699999999999982</v>
      </c>
      <c r="P65" s="108"/>
      <c r="Q65" s="107">
        <f t="shared" si="35"/>
        <v>21.14</v>
      </c>
      <c r="R65" s="107">
        <f t="shared" si="34"/>
        <v>20.99</v>
      </c>
      <c r="S65" s="108"/>
      <c r="T65" s="107"/>
      <c r="U65" s="109">
        <f t="shared" si="33"/>
        <v>48.55999999999996</v>
      </c>
      <c r="V65" s="131">
        <f>IF(H64="AFIII",VLOOKUP(D65,Sheet1!$A$4:$H$18,5,FALSE),IF(H64="UBIII",VLOOKUP(D65,Sheet1!$A$4:$H$18,8,FALSE),IF(H64="",VLOOKUP(D65,Sheet1!$A$4:$H$18,2,FALSE),"0")))</f>
        <v>884</v>
      </c>
      <c r="W65" s="131">
        <f t="shared" si="6"/>
        <v>7033</v>
      </c>
      <c r="X65" s="110">
        <f t="shared" si="1"/>
        <v>10622</v>
      </c>
      <c r="Y65" s="139" t="str">
        <f t="shared" si="2"/>
        <v>SUCCESS</v>
      </c>
      <c r="Z65" s="139" t="str">
        <f t="shared" si="3"/>
        <v>SUCCESS</v>
      </c>
      <c r="AA65" s="141">
        <f t="shared" si="7"/>
        <v>147.49543438559868</v>
      </c>
    </row>
    <row r="66" spans="1:27">
      <c r="A66" s="112">
        <f>ROUNDDOWN(IF(N65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168</v>
      </c>
      <c r="B66" s="113">
        <f t="shared" si="4"/>
        <v>22782</v>
      </c>
      <c r="C66" s="118">
        <f t="shared" si="31"/>
        <v>155.71000000000006</v>
      </c>
      <c r="D66" s="40" t="s">
        <v>4</v>
      </c>
      <c r="E66" s="56">
        <f>IF(H65="AFIII",VLOOKUP($D66,Sheet1!$A$34:$K$48,5,FALSE),IF(H65="UBIII",VLOOKUP($D66,Sheet1!$A$34:$K$48,8,FALSE),VLOOKUP($D66,Sheet1!$A$34:$K$48,2,FALSE)))</f>
        <v>1.67</v>
      </c>
      <c r="F66" s="56">
        <f>ROUNDDOWN((IF(H65="AFIII",VLOOKUP($D66,Sheet1!$A$34:$K$48,5,FALSE),IF(H65="UBIII",VLOOKUP($D66,Sheet1!$A$34:$K$48,8,FALSE),VLOOKUP($D66,Sheet1!$A$34:$K$48,2,FALSE))))*0.85,2)</f>
        <v>1.41</v>
      </c>
      <c r="G66" s="56">
        <f t="shared" si="5"/>
        <v>2.39</v>
      </c>
      <c r="H66" s="61" t="s">
        <v>84</v>
      </c>
      <c r="I66" s="56">
        <v>10</v>
      </c>
      <c r="K66" s="56">
        <f t="shared" si="29"/>
        <v>17.61</v>
      </c>
      <c r="L66" s="56">
        <f t="shared" si="30"/>
        <v>43.30999999999996</v>
      </c>
      <c r="O66" s="56">
        <f t="shared" si="27"/>
        <v>3.279999999999998</v>
      </c>
      <c r="Q66" s="56">
        <f t="shared" si="35"/>
        <v>18.75</v>
      </c>
      <c r="R66" s="56">
        <f t="shared" si="34"/>
        <v>18.599999999999998</v>
      </c>
      <c r="U66" s="71">
        <f t="shared" si="33"/>
        <v>46.169999999999959</v>
      </c>
      <c r="V66" s="130">
        <f>IF(H65="AFIII",VLOOKUP(D66,Sheet1!$A$4:$H$18,5,FALSE),IF(H65="UBIII",VLOOKUP(D66,Sheet1!$A$4:$H$18,8,FALSE),IF(H65="",VLOOKUP(D66,Sheet1!$A$4:$H$18,2,FALSE),"0")))</f>
        <v>442</v>
      </c>
      <c r="W66" s="130">
        <f t="shared" si="6"/>
        <v>7033</v>
      </c>
      <c r="X66" s="48">
        <f t="shared" si="1"/>
        <v>11064</v>
      </c>
      <c r="Y66" s="136" t="str">
        <f t="shared" si="2"/>
        <v>SUCCESS</v>
      </c>
      <c r="Z66" s="136" t="str">
        <f t="shared" si="3"/>
        <v>SUCCESS</v>
      </c>
      <c r="AA66" s="141">
        <f t="shared" si="7"/>
        <v>146.31044891143787</v>
      </c>
    </row>
    <row r="67" spans="1:27">
      <c r="A67" s="112">
        <f>ROUNDDOWN(IF(N66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504</v>
      </c>
      <c r="B67" s="113">
        <f t="shared" si="4"/>
        <v>23286</v>
      </c>
      <c r="C67" s="118">
        <f t="shared" si="31"/>
        <v>158.57000000000008</v>
      </c>
      <c r="D67" s="40" t="s">
        <v>6</v>
      </c>
      <c r="E67" s="56">
        <f>IF(H66="AFIII",VLOOKUP($D67,Sheet1!$A$34:$K$48,5,FALSE),IF(H66="UBIII",VLOOKUP($D67,Sheet1!$A$34:$K$48,8,FALSE),VLOOKUP($D67,Sheet1!$A$34:$K$48,2,FALSE)))</f>
        <v>2.86</v>
      </c>
      <c r="F67" s="56">
        <f>ROUNDDOWN((IF(H66="AFIII",VLOOKUP($D67,Sheet1!$A$34:$K$48,5,FALSE),IF(H66="UBIII",VLOOKUP($D67,Sheet1!$A$34:$K$48,8,FALSE),VLOOKUP($D67,Sheet1!$A$34:$K$48,2,FALSE))))*0.85,2)</f>
        <v>2.4300000000000002</v>
      </c>
      <c r="G67" s="56">
        <f t="shared" si="5"/>
        <v>2.86</v>
      </c>
      <c r="H67" s="61" t="s">
        <v>84</v>
      </c>
      <c r="I67" s="56">
        <f t="shared" si="36"/>
        <v>7.1400000000000006</v>
      </c>
      <c r="K67" s="56">
        <f t="shared" si="29"/>
        <v>14.75</v>
      </c>
      <c r="L67" s="56">
        <f t="shared" si="30"/>
        <v>40.44999999999996</v>
      </c>
      <c r="M67" s="61" t="s">
        <v>135</v>
      </c>
      <c r="O67" s="56">
        <f t="shared" si="27"/>
        <v>0.41999999999999815</v>
      </c>
      <c r="Q67" s="56">
        <f t="shared" si="35"/>
        <v>15.89</v>
      </c>
      <c r="R67" s="56">
        <f t="shared" si="34"/>
        <v>15.739999999999998</v>
      </c>
      <c r="U67" s="71">
        <f t="shared" si="33"/>
        <v>43.30999999999996</v>
      </c>
      <c r="V67" s="130">
        <f>IF(H66="AFIII",VLOOKUP(D67,Sheet1!$A$4:$H$18,5,FALSE),IF(H66="UBIII",VLOOKUP(D67,Sheet1!$A$4:$H$18,8,FALSE),IF(H66="",VLOOKUP(D67,Sheet1!$A$4:$H$18,2,FALSE),"0")))</f>
        <v>1768</v>
      </c>
      <c r="W67" s="130">
        <f t="shared" si="6"/>
        <v>0</v>
      </c>
      <c r="X67" s="48">
        <f t="shared" si="1"/>
        <v>9296</v>
      </c>
      <c r="Y67" s="136" t="str">
        <f t="shared" si="2"/>
        <v>SUCCESS</v>
      </c>
      <c r="Z67" s="136" t="str">
        <f t="shared" si="3"/>
        <v>SUCCESS</v>
      </c>
      <c r="AA67" s="141">
        <f t="shared" si="7"/>
        <v>146.84997162136588</v>
      </c>
    </row>
    <row r="68" spans="1:27">
      <c r="A68" s="112">
        <f>ROUNDDOWN(IF(N67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504</v>
      </c>
      <c r="B68" s="113">
        <f t="shared" si="4"/>
        <v>23790</v>
      </c>
      <c r="C68" s="118">
        <f t="shared" si="31"/>
        <v>161.43000000000009</v>
      </c>
      <c r="D68" s="40" t="s">
        <v>6</v>
      </c>
      <c r="E68" s="56">
        <f>IF(H67="AFIII",VLOOKUP($D68,Sheet1!$A$34:$K$48,5,FALSE),IF(H67="UBIII",VLOOKUP($D68,Sheet1!$A$34:$K$48,8,FALSE),VLOOKUP($D68,Sheet1!$A$34:$K$48,2,FALSE)))</f>
        <v>2.86</v>
      </c>
      <c r="F68" s="56">
        <f>ROUNDDOWN((IF(H67="AFIII",VLOOKUP($D68,Sheet1!$A$34:$K$48,5,FALSE),IF(H67="UBIII",VLOOKUP($D68,Sheet1!$A$34:$K$48,8,FALSE),VLOOKUP($D68,Sheet1!$A$34:$K$48,2,FALSE))))*0.85,2)</f>
        <v>2.4300000000000002</v>
      </c>
      <c r="G68" s="56">
        <f t="shared" si="5"/>
        <v>2.86</v>
      </c>
      <c r="H68" s="61" t="s">
        <v>84</v>
      </c>
      <c r="I68" s="56">
        <f t="shared" si="36"/>
        <v>4.2800000000000011</v>
      </c>
      <c r="K68" s="56">
        <f t="shared" si="29"/>
        <v>11.89</v>
      </c>
      <c r="L68" s="56">
        <f t="shared" si="30"/>
        <v>37.589999999999961</v>
      </c>
      <c r="O68" s="56">
        <f t="shared" si="27"/>
        <v>-2.4400000000000017</v>
      </c>
      <c r="Q68" s="56">
        <f t="shared" si="35"/>
        <v>13.030000000000001</v>
      </c>
      <c r="R68" s="56">
        <f t="shared" si="34"/>
        <v>12.879999999999999</v>
      </c>
      <c r="U68" s="71">
        <f t="shared" si="33"/>
        <v>40.44999999999996</v>
      </c>
      <c r="V68" s="130">
        <f>IF(H67="AFIII",VLOOKUP(D68,Sheet1!$A$4:$H$18,5,FALSE),IF(H67="UBIII",VLOOKUP(D68,Sheet1!$A$4:$H$18,8,FALSE),IF(H67="",VLOOKUP(D68,Sheet1!$A$4:$H$18,2,FALSE),"0")))</f>
        <v>1768</v>
      </c>
      <c r="W68" s="130">
        <f t="shared" si="6"/>
        <v>0</v>
      </c>
      <c r="X68" s="48">
        <f t="shared" si="1"/>
        <v>7528</v>
      </c>
      <c r="Y68" s="136" t="str">
        <f t="shared" si="2"/>
        <v>SUCCESS</v>
      </c>
      <c r="Z68" s="136" t="str">
        <f t="shared" si="3"/>
        <v>SUCCESS</v>
      </c>
      <c r="AA68" s="141">
        <f t="shared" si="7"/>
        <v>147.37037725329856</v>
      </c>
    </row>
    <row r="69" spans="1:27">
      <c r="A69" s="112">
        <f>ROUNDDOWN(IF(N68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324</v>
      </c>
      <c r="B69" s="113">
        <f t="shared" si="4"/>
        <v>24114</v>
      </c>
      <c r="C69" s="118">
        <f t="shared" si="31"/>
        <v>163.82000000000008</v>
      </c>
      <c r="D69" s="40" t="s">
        <v>0</v>
      </c>
      <c r="E69" s="56">
        <f>IF(H68="AFIII",VLOOKUP($D69,Sheet1!$A$34:$K$48,5,FALSE),IF(H68="UBIII",VLOOKUP($D69,Sheet1!$A$34:$K$48,8,FALSE),VLOOKUP($D69,Sheet1!$A$34:$K$48,2,FALSE)))</f>
        <v>2.39</v>
      </c>
      <c r="F69" s="56">
        <f>ROUNDDOWN((IF(H68="AFIII",VLOOKUP($D69,Sheet1!$A$34:$K$48,5,FALSE),IF(H68="UBIII",VLOOKUP($D69,Sheet1!$A$34:$K$48,8,FALSE),VLOOKUP($D69,Sheet1!$A$34:$K$48,2,FALSE))))*0.85,2)</f>
        <v>2.0299999999999998</v>
      </c>
      <c r="G69" s="56">
        <f t="shared" si="5"/>
        <v>2.39</v>
      </c>
      <c r="H69" s="61" t="s">
        <v>84</v>
      </c>
      <c r="I69" s="56">
        <v>10</v>
      </c>
      <c r="K69" s="56">
        <f t="shared" si="29"/>
        <v>9.5</v>
      </c>
      <c r="L69" s="56">
        <f t="shared" si="30"/>
        <v>35.19999999999996</v>
      </c>
      <c r="Q69" s="56">
        <f t="shared" si="35"/>
        <v>10.64</v>
      </c>
      <c r="R69" s="56">
        <f t="shared" si="34"/>
        <v>10.489999999999998</v>
      </c>
      <c r="U69" s="71">
        <f t="shared" si="33"/>
        <v>38.05999999999996</v>
      </c>
      <c r="V69" s="130">
        <f>IF(H68="AFIII",VLOOKUP(D69,Sheet1!$A$4:$H$18,5,FALSE),IF(H68="UBIII",VLOOKUP(D69,Sheet1!$A$4:$H$18,8,FALSE),IF(H68="",VLOOKUP(D69,Sheet1!$A$4:$H$18,2,FALSE),"0")))</f>
        <v>2120</v>
      </c>
      <c r="W69" s="130">
        <f t="shared" si="6"/>
        <v>0</v>
      </c>
      <c r="X69" s="48">
        <f t="shared" ref="X69:X78" si="37">IF(D69="フレア",IF(M69="コンバート",$X$1,0),IF(X68-V69+W69&gt;$X$3,$X$3-V69,X68-V69+W69))</f>
        <v>5408</v>
      </c>
      <c r="Y69" s="136" t="str">
        <f t="shared" ref="Y69:Y111" si="38">IF(X68-V69&lt;0,"ERROR","SUCCESS")</f>
        <v>SUCCESS</v>
      </c>
      <c r="Z69" s="136" t="str">
        <f t="shared" ref="Z69:Z111" si="39">IF(K68-G69&lt;0,"ERROR","SUCCESS")</f>
        <v>SUCCESS</v>
      </c>
      <c r="AA69" s="141">
        <f t="shared" si="7"/>
        <v>147.19814430472462</v>
      </c>
    </row>
    <row r="70" spans="1:27">
      <c r="A70" s="112">
        <f>ROUNDDOWN(IF(N69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504</v>
      </c>
      <c r="B70" s="113">
        <f t="shared" ref="B70:B78" si="40">B69+A70</f>
        <v>24618</v>
      </c>
      <c r="C70" s="118">
        <f t="shared" si="31"/>
        <v>166.68000000000009</v>
      </c>
      <c r="D70" s="40" t="s">
        <v>6</v>
      </c>
      <c r="E70" s="56">
        <f>IF(H69="AFIII",VLOOKUP($D70,Sheet1!$A$34:$K$48,5,FALSE),IF(H69="UBIII",VLOOKUP($D70,Sheet1!$A$34:$K$48,8,FALSE),VLOOKUP($D70,Sheet1!$A$34:$K$48,2,FALSE)))</f>
        <v>2.86</v>
      </c>
      <c r="F70" s="56">
        <f>ROUNDDOWN((IF(H69="AFIII",VLOOKUP($D70,Sheet1!$A$34:$K$48,5,FALSE),IF(H69="UBIII",VLOOKUP($D70,Sheet1!$A$34:$K$48,8,FALSE),VLOOKUP($D70,Sheet1!$A$34:$K$48,2,FALSE))))*0.85,2)</f>
        <v>2.4300000000000002</v>
      </c>
      <c r="G70" s="56">
        <f t="shared" ref="G70:G78" si="41">IF(M69="迅速",IF(S69="黒魔紋",$F$1,$E$1),IF(S69="黒魔紋",IF(F70&lt;$F$1,$F$1,F70),IF(E70&lt;$E$1,$E$1,E70)))</f>
        <v>2.86</v>
      </c>
      <c r="H70" s="61" t="s">
        <v>84</v>
      </c>
      <c r="I70" s="56">
        <f t="shared" si="36"/>
        <v>7.1400000000000006</v>
      </c>
      <c r="K70" s="56">
        <f t="shared" si="29"/>
        <v>6.6400000000000006</v>
      </c>
      <c r="L70" s="56">
        <f t="shared" si="30"/>
        <v>32.339999999999961</v>
      </c>
      <c r="Q70" s="56">
        <f t="shared" si="35"/>
        <v>7.7800000000000011</v>
      </c>
      <c r="R70" s="56">
        <f>R69-G70</f>
        <v>7.629999999999999</v>
      </c>
      <c r="U70" s="71">
        <f t="shared" si="33"/>
        <v>35.19999999999996</v>
      </c>
      <c r="V70" s="130">
        <f>IF(H69="AFIII",VLOOKUP(D70,Sheet1!$A$4:$H$18,5,FALSE),IF(H69="UBIII",VLOOKUP(D70,Sheet1!$A$4:$H$18,8,FALSE),IF(H69="",VLOOKUP(D70,Sheet1!$A$4:$H$18,2,FALSE),"0")))</f>
        <v>1768</v>
      </c>
      <c r="W70" s="130">
        <f t="shared" ref="W70:W78" si="42">IF(H69="UBIII",$X$2,0)</f>
        <v>0</v>
      </c>
      <c r="X70" s="48">
        <f t="shared" si="37"/>
        <v>3640</v>
      </c>
      <c r="Y70" s="136" t="str">
        <f t="shared" si="38"/>
        <v>SUCCESS</v>
      </c>
      <c r="Z70" s="136" t="str">
        <f t="shared" si="39"/>
        <v>SUCCESS</v>
      </c>
      <c r="AA70" s="141">
        <f t="shared" ref="AA70:AA122" si="43">B70/C70</f>
        <v>147.69618430525549</v>
      </c>
    </row>
    <row r="71" spans="1:27">
      <c r="A71" s="112">
        <f>ROUNDDOWN(IF(N70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168</v>
      </c>
      <c r="B71" s="113">
        <f t="shared" si="40"/>
        <v>24786</v>
      </c>
      <c r="C71" s="118">
        <f t="shared" si="31"/>
        <v>169.07000000000008</v>
      </c>
      <c r="D71" s="40" t="s">
        <v>12</v>
      </c>
      <c r="E71" s="56">
        <f>IF(H70="AFIII",VLOOKUP($D71,Sheet1!$A$34:$K$48,5,FALSE),IF(H70="UBIII",VLOOKUP($D71,Sheet1!$A$34:$K$48,8,FALSE),VLOOKUP($D71,Sheet1!$A$34:$K$48,2,FALSE)))</f>
        <v>1.67</v>
      </c>
      <c r="F71" s="56">
        <f>ROUNDDOWN((IF(H70="AFIII",VLOOKUP($D71,Sheet1!$A$34:$K$48,5,FALSE),IF(H70="UBIII",VLOOKUP($D71,Sheet1!$A$34:$K$48,8,FALSE),VLOOKUP($D71,Sheet1!$A$34:$K$48,2,FALSE))))*0.85,2)</f>
        <v>1.41</v>
      </c>
      <c r="G71" s="56">
        <f t="shared" si="41"/>
        <v>2.39</v>
      </c>
      <c r="H71" s="61" t="s">
        <v>122</v>
      </c>
      <c r="I71" s="56">
        <f t="shared" si="36"/>
        <v>4.75</v>
      </c>
      <c r="K71" s="56">
        <f t="shared" si="29"/>
        <v>4.25</v>
      </c>
      <c r="L71" s="56">
        <f t="shared" si="30"/>
        <v>29.94999999999996</v>
      </c>
      <c r="Q71" s="56">
        <f t="shared" si="35"/>
        <v>5.3900000000000006</v>
      </c>
      <c r="R71" s="56">
        <f t="shared" si="34"/>
        <v>5.2399999999999984</v>
      </c>
      <c r="U71" s="71">
        <f t="shared" si="33"/>
        <v>32.80999999999996</v>
      </c>
      <c r="V71" s="130">
        <f>IF(H70="AFIII",VLOOKUP(D71,Sheet1!$A$4:$H$18,5,FALSE),IF(H70="UBIII",VLOOKUP(D71,Sheet1!$A$4:$H$18,8,FALSE),IF(H70="",VLOOKUP(D71,Sheet1!$A$4:$H$18,2,FALSE),"0")))</f>
        <v>265</v>
      </c>
      <c r="W71" s="130">
        <f t="shared" si="42"/>
        <v>0</v>
      </c>
      <c r="X71" s="48">
        <f t="shared" si="37"/>
        <v>3375</v>
      </c>
      <c r="Y71" s="136" t="str">
        <f t="shared" si="38"/>
        <v>SUCCESS</v>
      </c>
      <c r="Z71" s="136" t="str">
        <f t="shared" si="39"/>
        <v>SUCCESS</v>
      </c>
      <c r="AA71" s="141">
        <f t="shared" si="43"/>
        <v>146.60199917194055</v>
      </c>
    </row>
    <row r="72" spans="1:27">
      <c r="A72" s="119">
        <f>ROUNDDOWN(IF(N71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280</v>
      </c>
      <c r="B72" s="120">
        <f t="shared" si="40"/>
        <v>25066</v>
      </c>
      <c r="C72" s="121">
        <f t="shared" si="31"/>
        <v>171.93000000000009</v>
      </c>
      <c r="D72" s="106" t="s">
        <v>14</v>
      </c>
      <c r="E72" s="107">
        <f>IF(H71="AFIII",VLOOKUP($D72,Sheet1!$A$34:$K$48,5,FALSE),IF(H71="UBIII",VLOOKUP($D72,Sheet1!$A$34:$K$48,8,FALSE),VLOOKUP($D72,Sheet1!$A$34:$K$48,2,FALSE)))</f>
        <v>2.86</v>
      </c>
      <c r="F72" s="107">
        <f>ROUNDDOWN((IF(H71="AFIII",VLOOKUP($D72,Sheet1!$A$34:$K$48,5,FALSE),IF(H71="UBIII",VLOOKUP($D72,Sheet1!$A$34:$K$48,8,FALSE),VLOOKUP($D72,Sheet1!$A$34:$K$48,2,FALSE))))*0.85,2)</f>
        <v>2.4300000000000002</v>
      </c>
      <c r="G72" s="107">
        <f t="shared" si="41"/>
        <v>2.86</v>
      </c>
      <c r="H72" s="108" t="s">
        <v>122</v>
      </c>
      <c r="I72" s="107">
        <f t="shared" si="36"/>
        <v>1.8900000000000001</v>
      </c>
      <c r="J72" s="108"/>
      <c r="K72" s="107">
        <v>15</v>
      </c>
      <c r="L72" s="107">
        <f t="shared" si="30"/>
        <v>27.089999999999961</v>
      </c>
      <c r="M72" s="108"/>
      <c r="N72" s="107"/>
      <c r="O72" s="107"/>
      <c r="P72" s="108"/>
      <c r="Q72" s="107">
        <f t="shared" si="35"/>
        <v>2.5300000000000007</v>
      </c>
      <c r="R72" s="107">
        <f t="shared" si="34"/>
        <v>2.3799999999999986</v>
      </c>
      <c r="S72" s="108"/>
      <c r="T72" s="107"/>
      <c r="U72" s="109">
        <f t="shared" si="33"/>
        <v>29.94999999999996</v>
      </c>
      <c r="V72" s="131">
        <f>IF(H71="AFIII",VLOOKUP(D72,Sheet1!$A$4:$H$18,5,FALSE),IF(H71="UBIII",VLOOKUP(D72,Sheet1!$A$4:$H$18,8,FALSE),IF(H71="",VLOOKUP(D72,Sheet1!$A$4:$H$18,2,FALSE),"0")))</f>
        <v>884</v>
      </c>
      <c r="W72" s="131">
        <f t="shared" si="42"/>
        <v>7033</v>
      </c>
      <c r="X72" s="110">
        <f t="shared" si="37"/>
        <v>9524</v>
      </c>
      <c r="Y72" s="139" t="str">
        <f t="shared" si="38"/>
        <v>SUCCESS</v>
      </c>
      <c r="Z72" s="139" t="str">
        <f t="shared" si="39"/>
        <v>SUCCESS</v>
      </c>
      <c r="AA72" s="141">
        <f t="shared" si="43"/>
        <v>145.79189204908965</v>
      </c>
    </row>
    <row r="73" spans="1:27">
      <c r="A73" s="112">
        <f>ROUNDDOWN(IF(N72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168</v>
      </c>
      <c r="B73" s="113">
        <f t="shared" si="40"/>
        <v>25234</v>
      </c>
      <c r="C73" s="118">
        <f t="shared" si="31"/>
        <v>174.32000000000008</v>
      </c>
      <c r="D73" s="40" t="s">
        <v>4</v>
      </c>
      <c r="E73" s="56">
        <f>IF(H72="AFIII",VLOOKUP($D73,Sheet1!$A$34:$K$48,5,FALSE),IF(H72="UBIII",VLOOKUP($D73,Sheet1!$A$34:$K$48,8,FALSE),VLOOKUP($D73,Sheet1!$A$34:$K$48,2,FALSE)))</f>
        <v>1.67</v>
      </c>
      <c r="F73" s="56">
        <f>ROUNDDOWN((IF(H72="AFIII",VLOOKUP($D73,Sheet1!$A$34:$K$48,5,FALSE),IF(H72="UBIII",VLOOKUP($D73,Sheet1!$A$34:$K$48,8,FALSE),VLOOKUP($D73,Sheet1!$A$34:$K$48,2,FALSE))))*0.85,2)</f>
        <v>1.41</v>
      </c>
      <c r="G73" s="56">
        <f t="shared" si="41"/>
        <v>2.39</v>
      </c>
      <c r="H73" s="61" t="s">
        <v>84</v>
      </c>
      <c r="I73" s="56">
        <v>10</v>
      </c>
      <c r="K73" s="56">
        <f t="shared" si="29"/>
        <v>12.61</v>
      </c>
      <c r="L73" s="56">
        <f t="shared" si="30"/>
        <v>24.69999999999996</v>
      </c>
      <c r="Q73" s="56">
        <f t="shared" si="35"/>
        <v>0.14000000000000057</v>
      </c>
      <c r="R73" s="56">
        <f t="shared" si="34"/>
        <v>-1.0000000000001563E-2</v>
      </c>
      <c r="U73" s="71">
        <f t="shared" si="33"/>
        <v>27.55999999999996</v>
      </c>
      <c r="V73" s="130">
        <f>IF(H72="AFIII",VLOOKUP(D73,Sheet1!$A$4:$H$18,5,FALSE),IF(H72="UBIII",VLOOKUP(D73,Sheet1!$A$4:$H$18,8,FALSE),IF(H72="",VLOOKUP(D73,Sheet1!$A$4:$H$18,2,FALSE),"0")))</f>
        <v>442</v>
      </c>
      <c r="W73" s="130">
        <f t="shared" si="42"/>
        <v>7033</v>
      </c>
      <c r="X73" s="48">
        <f t="shared" si="37"/>
        <v>11064</v>
      </c>
      <c r="Y73" s="136" t="str">
        <f t="shared" si="38"/>
        <v>SUCCESS</v>
      </c>
      <c r="Z73" s="136" t="str">
        <f t="shared" si="39"/>
        <v>SUCCESS</v>
      </c>
      <c r="AA73" s="141">
        <f t="shared" si="43"/>
        <v>144.75676916016513</v>
      </c>
    </row>
    <row r="74" spans="1:27">
      <c r="A74" s="112">
        <f>ROUNDDOWN(IF(N73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504</v>
      </c>
      <c r="B74" s="113">
        <f t="shared" si="40"/>
        <v>25738</v>
      </c>
      <c r="C74" s="118">
        <f t="shared" si="31"/>
        <v>177.18000000000009</v>
      </c>
      <c r="D74" s="40" t="s">
        <v>6</v>
      </c>
      <c r="E74" s="56">
        <f>IF(H73="AFIII",VLOOKUP($D74,Sheet1!$A$34:$K$48,5,FALSE),IF(H73="UBIII",VLOOKUP($D74,Sheet1!$A$34:$K$48,8,FALSE),VLOOKUP($D74,Sheet1!$A$34:$K$48,2,FALSE)))</f>
        <v>2.86</v>
      </c>
      <c r="F74" s="56">
        <f>ROUNDDOWN((IF(H73="AFIII",VLOOKUP($D74,Sheet1!$A$34:$K$48,5,FALSE),IF(H73="UBIII",VLOOKUP($D74,Sheet1!$A$34:$K$48,8,FALSE),VLOOKUP($D74,Sheet1!$A$34:$K$48,2,FALSE))))*0.85,2)</f>
        <v>2.4300000000000002</v>
      </c>
      <c r="G74" s="56">
        <f t="shared" si="41"/>
        <v>2.86</v>
      </c>
      <c r="H74" s="61" t="s">
        <v>84</v>
      </c>
      <c r="I74" s="56">
        <f t="shared" ref="I74:I111" si="44">I73-G74</f>
        <v>7.1400000000000006</v>
      </c>
      <c r="K74" s="56">
        <f t="shared" si="29"/>
        <v>9.75</v>
      </c>
      <c r="L74" s="56">
        <f t="shared" si="30"/>
        <v>21.839999999999961</v>
      </c>
      <c r="R74" s="56">
        <f t="shared" si="34"/>
        <v>-2.8700000000000014</v>
      </c>
      <c r="U74" s="71">
        <f t="shared" si="33"/>
        <v>24.69999999999996</v>
      </c>
      <c r="V74" s="130">
        <f>IF(H73="AFIII",VLOOKUP(D74,Sheet1!$A$4:$H$18,5,FALSE),IF(H73="UBIII",VLOOKUP(D74,Sheet1!$A$4:$H$18,8,FALSE),IF(H73="",VLOOKUP(D74,Sheet1!$A$4:$H$18,2,FALSE),"0")))</f>
        <v>1768</v>
      </c>
      <c r="W74" s="130">
        <f t="shared" si="42"/>
        <v>0</v>
      </c>
      <c r="X74" s="48">
        <f t="shared" si="37"/>
        <v>9296</v>
      </c>
      <c r="Y74" s="136" t="str">
        <f t="shared" si="38"/>
        <v>SUCCESS</v>
      </c>
      <c r="Z74" s="136" t="str">
        <f t="shared" si="39"/>
        <v>SUCCESS</v>
      </c>
      <c r="AA74" s="141">
        <f t="shared" si="43"/>
        <v>145.26470256236587</v>
      </c>
    </row>
    <row r="75" spans="1:27">
      <c r="A75" s="112">
        <f>ROUNDDOWN(IF(N74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504</v>
      </c>
      <c r="B75" s="113">
        <f t="shared" si="40"/>
        <v>26242</v>
      </c>
      <c r="C75" s="118">
        <f t="shared" si="31"/>
        <v>180.04000000000011</v>
      </c>
      <c r="D75" s="40" t="s">
        <v>6</v>
      </c>
      <c r="E75" s="56">
        <f>IF(H74="AFIII",VLOOKUP($D75,Sheet1!$A$34:$K$48,5,FALSE),IF(H74="UBIII",VLOOKUP($D75,Sheet1!$A$34:$K$48,8,FALSE),VLOOKUP($D75,Sheet1!$A$34:$K$48,2,FALSE)))</f>
        <v>2.86</v>
      </c>
      <c r="F75" s="56">
        <f>ROUNDDOWN((IF(H74="AFIII",VLOOKUP($D75,Sheet1!$A$34:$K$48,5,FALSE),IF(H74="UBIII",VLOOKUP($D75,Sheet1!$A$34:$K$48,8,FALSE),VLOOKUP($D75,Sheet1!$A$34:$K$48,2,FALSE))))*0.85,2)</f>
        <v>2.4300000000000002</v>
      </c>
      <c r="G75" s="56">
        <f t="shared" si="41"/>
        <v>2.86</v>
      </c>
      <c r="H75" s="61" t="s">
        <v>84</v>
      </c>
      <c r="I75" s="56">
        <f t="shared" si="44"/>
        <v>4.2800000000000011</v>
      </c>
      <c r="K75" s="56">
        <f t="shared" si="29"/>
        <v>6.8900000000000006</v>
      </c>
      <c r="L75" s="56">
        <f t="shared" si="30"/>
        <v>18.979999999999961</v>
      </c>
      <c r="U75" s="71">
        <f t="shared" si="33"/>
        <v>21.839999999999961</v>
      </c>
      <c r="V75" s="130">
        <f>IF(H74="AFIII",VLOOKUP(D75,Sheet1!$A$4:$H$18,5,FALSE),IF(H74="UBIII",VLOOKUP(D75,Sheet1!$A$4:$H$18,8,FALSE),IF(H74="",VLOOKUP(D75,Sheet1!$A$4:$H$18,2,FALSE),"0")))</f>
        <v>1768</v>
      </c>
      <c r="W75" s="130">
        <f t="shared" si="42"/>
        <v>0</v>
      </c>
      <c r="X75" s="48">
        <f t="shared" si="37"/>
        <v>7528</v>
      </c>
      <c r="Y75" s="136" t="str">
        <f t="shared" si="38"/>
        <v>SUCCESS</v>
      </c>
      <c r="Z75" s="136" t="str">
        <f t="shared" si="39"/>
        <v>SUCCESS</v>
      </c>
      <c r="AA75" s="141">
        <f t="shared" si="43"/>
        <v>145.75649855587639</v>
      </c>
    </row>
    <row r="76" spans="1:27">
      <c r="A76" s="112">
        <f>ROUNDDOWN(IF(N75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324</v>
      </c>
      <c r="B76" s="113">
        <f t="shared" si="40"/>
        <v>26566</v>
      </c>
      <c r="C76" s="118">
        <f t="shared" si="31"/>
        <v>182.43000000000009</v>
      </c>
      <c r="D76" s="40" t="s">
        <v>0</v>
      </c>
      <c r="E76" s="56">
        <f>IF(H75="AFIII",VLOOKUP($D76,Sheet1!$A$34:$K$48,5,FALSE),IF(H75="UBIII",VLOOKUP($D76,Sheet1!$A$34:$K$48,8,FALSE),VLOOKUP($D76,Sheet1!$A$34:$K$48,2,FALSE)))</f>
        <v>2.39</v>
      </c>
      <c r="F76" s="56">
        <f>ROUNDDOWN((IF(H75="AFIII",VLOOKUP($D76,Sheet1!$A$34:$K$48,5,FALSE),IF(H75="UBIII",VLOOKUP($D76,Sheet1!$A$34:$K$48,8,FALSE),VLOOKUP($D76,Sheet1!$A$34:$K$48,2,FALSE))))*0.85,2)</f>
        <v>2.0299999999999998</v>
      </c>
      <c r="G76" s="56">
        <f t="shared" si="41"/>
        <v>2.39</v>
      </c>
      <c r="H76" s="61" t="s">
        <v>84</v>
      </c>
      <c r="I76" s="56">
        <v>10</v>
      </c>
      <c r="K76" s="56">
        <f t="shared" si="29"/>
        <v>4.5</v>
      </c>
      <c r="L76" s="56">
        <f t="shared" si="30"/>
        <v>16.589999999999961</v>
      </c>
      <c r="U76" s="71">
        <f t="shared" si="33"/>
        <v>19.44999999999996</v>
      </c>
      <c r="V76" s="130">
        <f>IF(H75="AFIII",VLOOKUP(D76,Sheet1!$A$4:$H$18,5,FALSE),IF(H75="UBIII",VLOOKUP(D76,Sheet1!$A$4:$H$18,8,FALSE),IF(H75="",VLOOKUP(D76,Sheet1!$A$4:$H$18,2,FALSE),"0")))</f>
        <v>2120</v>
      </c>
      <c r="W76" s="130">
        <f t="shared" si="42"/>
        <v>0</v>
      </c>
      <c r="X76" s="48">
        <f t="shared" si="37"/>
        <v>5408</v>
      </c>
      <c r="Y76" s="136" t="str">
        <f t="shared" si="38"/>
        <v>SUCCESS</v>
      </c>
      <c r="Z76" s="136" t="str">
        <f t="shared" si="39"/>
        <v>SUCCESS</v>
      </c>
      <c r="AA76" s="141">
        <f t="shared" si="43"/>
        <v>145.62297867675267</v>
      </c>
    </row>
    <row r="77" spans="1:27">
      <c r="A77" s="112">
        <f>ROUNDDOWN(IF(N76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40"/>
        <v>27070</v>
      </c>
      <c r="C77" s="118">
        <f t="shared" si="31"/>
        <v>185.29000000000011</v>
      </c>
      <c r="D77" s="40" t="s">
        <v>6</v>
      </c>
      <c r="E77" s="56">
        <f>IF(H76="AFIII",VLOOKUP($D77,Sheet1!$A$34:$K$48,5,FALSE),IF(H76="UBIII",VLOOKUP($D77,Sheet1!$A$34:$K$48,8,FALSE),VLOOKUP($D77,Sheet1!$A$34:$K$48,2,FALSE)))</f>
        <v>2.86</v>
      </c>
      <c r="F77" s="56">
        <f>ROUNDDOWN((IF(H76="AFIII",VLOOKUP($D77,Sheet1!$A$34:$K$48,5,FALSE),IF(H76="UBIII",VLOOKUP($D77,Sheet1!$A$34:$K$48,8,FALSE),VLOOKUP($D77,Sheet1!$A$34:$K$48,2,FALSE))))*0.85,2)</f>
        <v>2.4300000000000002</v>
      </c>
      <c r="G77" s="56">
        <f t="shared" si="41"/>
        <v>2.86</v>
      </c>
      <c r="H77" s="61" t="s">
        <v>84</v>
      </c>
      <c r="I77" s="56">
        <f t="shared" si="44"/>
        <v>7.1400000000000006</v>
      </c>
      <c r="K77" s="56">
        <f t="shared" si="29"/>
        <v>1.6400000000000001</v>
      </c>
      <c r="L77" s="56">
        <f t="shared" si="30"/>
        <v>13.729999999999961</v>
      </c>
      <c r="U77" s="71">
        <f t="shared" si="33"/>
        <v>16.589999999999961</v>
      </c>
      <c r="V77" s="130">
        <f>IF(H76="AFIII",VLOOKUP(D77,Sheet1!$A$4:$H$18,5,FALSE),IF(H76="UBIII",VLOOKUP(D77,Sheet1!$A$4:$H$18,8,FALSE),IF(H76="",VLOOKUP(D77,Sheet1!$A$4:$H$18,2,FALSE),"0")))</f>
        <v>1768</v>
      </c>
      <c r="W77" s="130">
        <f t="shared" si="42"/>
        <v>0</v>
      </c>
      <c r="X77" s="48">
        <f t="shared" si="37"/>
        <v>3640</v>
      </c>
      <c r="Y77" s="136" t="str">
        <f t="shared" si="38"/>
        <v>SUCCESS</v>
      </c>
      <c r="Z77" s="136" t="str">
        <f t="shared" si="39"/>
        <v>SUCCESS</v>
      </c>
      <c r="AA77" s="141">
        <f t="shared" si="43"/>
        <v>146.09531005450907</v>
      </c>
    </row>
    <row r="78" spans="1:27">
      <c r="A78" s="112">
        <f>ROUNDDOWN(IF(N77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324</v>
      </c>
      <c r="B78" s="113">
        <f t="shared" si="40"/>
        <v>27394</v>
      </c>
      <c r="C78" s="118">
        <f t="shared" si="31"/>
        <v>187.68000000000009</v>
      </c>
      <c r="D78" s="40" t="s">
        <v>1</v>
      </c>
      <c r="E78" s="56">
        <f>IF(H77="AFIII",VLOOKUP($D78,Sheet1!$A$34:$K$48,5,FALSE),IF(H77="UBIII",VLOOKUP($D78,Sheet1!$A$34:$K$48,8,FALSE),VLOOKUP($D78,Sheet1!$A$34:$K$48,2,FALSE)))</f>
        <v>2.39</v>
      </c>
      <c r="F78" s="56">
        <f>ROUNDDOWN((IF(H77="AFIII",VLOOKUP($D78,Sheet1!$A$34:$K$48,5,FALSE),IF(H77="UBIII",VLOOKUP($D78,Sheet1!$A$34:$K$48,8,FALSE),VLOOKUP($D78,Sheet1!$A$34:$K$48,2,FALSE))))*0.85,2)</f>
        <v>2.0299999999999998</v>
      </c>
      <c r="G78" s="56">
        <f t="shared" si="41"/>
        <v>2.39</v>
      </c>
      <c r="H78" s="61" t="s">
        <v>84</v>
      </c>
      <c r="I78" s="56">
        <v>10</v>
      </c>
      <c r="L78" s="56">
        <f t="shared" si="30"/>
        <v>11.339999999999961</v>
      </c>
      <c r="U78" s="71">
        <f t="shared" si="33"/>
        <v>14.19999999999996</v>
      </c>
      <c r="V78" s="130">
        <f>IF(H77="AFIII",VLOOKUP(D78,Sheet1!$A$4:$H$18,5,FALSE),IF(H77="UBIII",VLOOKUP(D78,Sheet1!$A$4:$H$18,8,FALSE),IF(H77="",VLOOKUP(D78,Sheet1!$A$4:$H$18,2,FALSE),"0")))</f>
        <v>2120</v>
      </c>
      <c r="W78" s="130">
        <f t="shared" si="42"/>
        <v>0</v>
      </c>
      <c r="X78" s="48">
        <f t="shared" si="37"/>
        <v>1520</v>
      </c>
      <c r="Y78" s="136" t="str">
        <f t="shared" si="38"/>
        <v>SUCCESS</v>
      </c>
      <c r="Z78" s="136" t="str">
        <f t="shared" si="39"/>
        <v>ERROR</v>
      </c>
      <c r="AA78" s="141">
        <f t="shared" si="43"/>
        <v>145.96121057118492</v>
      </c>
    </row>
    <row r="79" spans="1:27">
      <c r="A79" s="112">
        <f>ROUNDDOWN(IF(N78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168</v>
      </c>
      <c r="B79" s="113">
        <f t="shared" ref="B79:B80" si="45">B78+A79</f>
        <v>27562</v>
      </c>
      <c r="C79" s="118">
        <f t="shared" ref="C79:C85" si="46">C78+G79</f>
        <v>190.07000000000008</v>
      </c>
      <c r="D79" s="40" t="s">
        <v>12</v>
      </c>
      <c r="E79" s="56">
        <f>IF(H78="AFIII",VLOOKUP($D79,Sheet1!$A$34:$K$48,5,FALSE),IF(H78="UBIII",VLOOKUP($D79,Sheet1!$A$34:$K$48,8,FALSE),VLOOKUP($D79,Sheet1!$A$34:$K$48,2,FALSE)))</f>
        <v>1.67</v>
      </c>
      <c r="F79" s="56">
        <f>ROUNDDOWN((IF(H78="AFIII",VLOOKUP($D79,Sheet1!$A$34:$K$48,5,FALSE),IF(H78="UBIII",VLOOKUP($D79,Sheet1!$A$34:$K$48,8,FALSE),VLOOKUP($D79,Sheet1!$A$34:$K$48,2,FALSE))))*0.85,2)</f>
        <v>1.41</v>
      </c>
      <c r="G79" s="56">
        <f t="shared" ref="G79:G85" si="47">IF(M78="迅速",IF(S78="黒魔紋",$F$1,$E$1),IF(S78="黒魔紋",IF(F79&lt;$F$1,$F$1,F79),IF(E79&lt;$E$1,$E$1,E79)))</f>
        <v>2.39</v>
      </c>
      <c r="H79" s="61" t="s">
        <v>122</v>
      </c>
      <c r="I79" s="56">
        <v>10</v>
      </c>
      <c r="L79" s="56">
        <f t="shared" ref="L79:L84" si="48">L78-G79</f>
        <v>8.9499999999999602</v>
      </c>
      <c r="U79" s="71">
        <f t="shared" ref="U79:U85" si="49">U78-G79</f>
        <v>11.80999999999996</v>
      </c>
      <c r="V79" s="130">
        <f>IF(H78="AFIII",VLOOKUP(D79,Sheet1!$A$4:$H$18,5,FALSE),IF(H78="UBIII",VLOOKUP(D79,Sheet1!$A$4:$H$18,8,FALSE),IF(H78="",VLOOKUP(D79,Sheet1!$A$4:$H$18,2,FALSE),"0")))</f>
        <v>265</v>
      </c>
      <c r="W79" s="130">
        <f t="shared" ref="W79:W85" si="50">IF(H78="UBIII",$X$2,0)</f>
        <v>0</v>
      </c>
      <c r="X79" s="48">
        <f t="shared" ref="X79:X85" si="51">IF(D79="フレア",IF(M79="コンバート",$X$1,0),IF(X78-V79+W79&gt;$X$3,$X$3-V79,X78-V79+W79))</f>
        <v>1255</v>
      </c>
      <c r="Y79" s="136" t="str">
        <f t="shared" ref="Y79:Y85" si="52">IF(X78-V79&lt;0,"ERROR","SUCCESS")</f>
        <v>SUCCESS</v>
      </c>
      <c r="Z79" s="136" t="str">
        <f t="shared" ref="Z79:Z85" si="53">IF(K78-G79&lt;0,"ERROR","SUCCESS")</f>
        <v>ERROR</v>
      </c>
      <c r="AA79" s="141">
        <f t="shared" si="43"/>
        <v>145.00973325616872</v>
      </c>
    </row>
    <row r="80" spans="1:27" ht="15" thickBot="1">
      <c r="A80" s="116">
        <f>ROUNDDOWN(IF(N79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295</v>
      </c>
      <c r="B80" s="117">
        <f t="shared" si="45"/>
        <v>27857</v>
      </c>
      <c r="C80" s="125">
        <f t="shared" si="46"/>
        <v>192.93000000000009</v>
      </c>
      <c r="D80" s="86" t="s">
        <v>19</v>
      </c>
      <c r="E80" s="87">
        <f>IF(H79="AFIII",VLOOKUP($D80,Sheet1!$A$34:$K$48,5,FALSE),IF(H79="UBIII",VLOOKUP($D80,Sheet1!$A$34:$K$48,8,FALSE),VLOOKUP($D80,Sheet1!$A$34:$K$48,2,FALSE)))</f>
        <v>2.86</v>
      </c>
      <c r="F80" s="87">
        <f>ROUNDDOWN((IF(H79="AFIII",VLOOKUP($D80,Sheet1!$A$34:$K$48,5,FALSE),IF(H79="UBIII",VLOOKUP($D80,Sheet1!$A$34:$K$48,8,FALSE),VLOOKUP($D80,Sheet1!$A$34:$K$48,2,FALSE))))*0.85,2)</f>
        <v>2.4300000000000002</v>
      </c>
      <c r="G80" s="87">
        <f t="shared" si="47"/>
        <v>2.86</v>
      </c>
      <c r="H80" s="88" t="s">
        <v>122</v>
      </c>
      <c r="I80" s="87">
        <f>I79-G80</f>
        <v>7.1400000000000006</v>
      </c>
      <c r="J80" s="88"/>
      <c r="K80" s="87"/>
      <c r="L80" s="87">
        <f t="shared" si="48"/>
        <v>6.0899999999999608</v>
      </c>
      <c r="M80" s="88"/>
      <c r="N80" s="87"/>
      <c r="O80" s="87"/>
      <c r="P80" s="88" t="s">
        <v>17</v>
      </c>
      <c r="Q80" s="87">
        <v>21</v>
      </c>
      <c r="R80" s="87"/>
      <c r="S80" s="88"/>
      <c r="T80" s="87"/>
      <c r="U80" s="89">
        <f t="shared" si="49"/>
        <v>8.9499999999999602</v>
      </c>
      <c r="V80" s="129">
        <f>IF(H79="AFIII",VLOOKUP(D80,Sheet1!$A$4:$H$18,5,FALSE),IF(H79="UBIII",VLOOKUP(D80,Sheet1!$A$4:$H$18,8,FALSE),IF(H79="",VLOOKUP(D80,Sheet1!$A$4:$H$18,2,FALSE),"0")))</f>
        <v>1060</v>
      </c>
      <c r="W80" s="129">
        <f t="shared" si="50"/>
        <v>7033</v>
      </c>
      <c r="X80" s="90">
        <f t="shared" si="51"/>
        <v>7228</v>
      </c>
      <c r="Y80" s="138" t="str">
        <f t="shared" si="52"/>
        <v>SUCCESS</v>
      </c>
      <c r="Z80" s="138" t="str">
        <f t="shared" si="53"/>
        <v>ERROR</v>
      </c>
      <c r="AA80" s="141">
        <f>B80/C80</f>
        <v>144.38915668895447</v>
      </c>
    </row>
    <row r="81" spans="3:27" ht="15" thickTop="1">
      <c r="C81" s="118">
        <f t="shared" si="46"/>
        <v>195.32000000000008</v>
      </c>
      <c r="D81" s="84" t="s">
        <v>4</v>
      </c>
      <c r="E81" s="56">
        <f>IF(H80="AFIII",VLOOKUP($D81,Sheet1!$A$34:$K$48,5,FALSE),IF(H80="UBIII",VLOOKUP($D81,Sheet1!$A$34:$K$48,8,FALSE),VLOOKUP($D81,Sheet1!$A$34:$K$48,2,FALSE)))</f>
        <v>1.67</v>
      </c>
      <c r="F81" s="56">
        <f>ROUNDDOWN((IF(H80="AFIII",VLOOKUP($D81,Sheet1!$A$34:$K$48,5,FALSE),IF(H80="UBIII",VLOOKUP($D81,Sheet1!$A$34:$K$48,8,FALSE),VLOOKUP($D81,Sheet1!$A$34:$K$48,2,FALSE))))*0.85,2)</f>
        <v>1.41</v>
      </c>
      <c r="G81" s="56">
        <f t="shared" si="47"/>
        <v>2.39</v>
      </c>
      <c r="H81" s="61" t="s">
        <v>83</v>
      </c>
      <c r="I81" s="56">
        <v>10</v>
      </c>
      <c r="L81" s="56">
        <f t="shared" si="48"/>
        <v>3.6999999999999607</v>
      </c>
      <c r="Q81" s="56">
        <f>Q80-G81</f>
        <v>18.61</v>
      </c>
      <c r="U81" s="71">
        <f t="shared" si="49"/>
        <v>6.5599999999999596</v>
      </c>
      <c r="V81" s="133">
        <f>IF(H80="AFIII",VLOOKUP(D81,Sheet1!$A$4:$H$18,5,FALSE),IF(H80="UBIII",VLOOKUP(D81,Sheet1!$A$4:$H$18,8,FALSE),IF(H80="",VLOOKUP(D81,Sheet1!$A$4:$H$18,2,FALSE),"0")))</f>
        <v>442</v>
      </c>
      <c r="W81" s="133">
        <f t="shared" si="50"/>
        <v>7033</v>
      </c>
      <c r="X81" s="85">
        <f t="shared" si="51"/>
        <v>11064</v>
      </c>
      <c r="Y81" s="136" t="str">
        <f t="shared" si="52"/>
        <v>SUCCESS</v>
      </c>
      <c r="Z81" s="136" t="str">
        <f t="shared" si="53"/>
        <v>ERROR</v>
      </c>
      <c r="AA81" s="141">
        <f t="shared" si="43"/>
        <v>0</v>
      </c>
    </row>
    <row r="82" spans="3:27">
      <c r="C82" s="118">
        <f t="shared" si="46"/>
        <v>197.71000000000006</v>
      </c>
      <c r="D82" s="40" t="s">
        <v>0</v>
      </c>
      <c r="E82" s="56">
        <f>IF(H81="AFIII",VLOOKUP($D82,Sheet1!$A$34:$K$48,5,FALSE),IF(H81="UBIII",VLOOKUP($D82,Sheet1!$A$34:$K$48,8,FALSE),VLOOKUP($D82,Sheet1!$A$34:$K$48,2,FALSE)))</f>
        <v>2.39</v>
      </c>
      <c r="F82" s="56">
        <f>ROUNDDOWN((IF(H81="AFIII",VLOOKUP($D82,Sheet1!$A$34:$K$48,5,FALSE),IF(H81="UBIII",VLOOKUP($D82,Sheet1!$A$34:$K$48,8,FALSE),VLOOKUP($D82,Sheet1!$A$34:$K$48,2,FALSE))))*0.85,2)</f>
        <v>2.0299999999999998</v>
      </c>
      <c r="G82" s="56">
        <f t="shared" si="47"/>
        <v>2.39</v>
      </c>
      <c r="H82" s="61" t="s">
        <v>83</v>
      </c>
      <c r="I82" s="56">
        <f>I81-G82</f>
        <v>7.6099999999999994</v>
      </c>
      <c r="L82" s="56">
        <f t="shared" si="48"/>
        <v>1.3099999999999605</v>
      </c>
      <c r="Q82" s="56">
        <f t="shared" ref="Q82:Q85" si="54">Q81-G82</f>
        <v>16.22</v>
      </c>
      <c r="U82" s="71">
        <f t="shared" si="49"/>
        <v>4.1699999999999591</v>
      </c>
      <c r="V82" s="130">
        <f>IF(H81="AFIII",VLOOKUP(D82,Sheet1!$A$4:$H$18,5,FALSE),IF(H81="UBIII",VLOOKUP(D82,Sheet1!$A$4:$H$18,8,FALSE),IF(H81="",VLOOKUP(D82,Sheet1!$A$4:$H$18,2,FALSE),"0")))</f>
        <v>2120</v>
      </c>
      <c r="W82" s="130">
        <f t="shared" si="50"/>
        <v>0</v>
      </c>
      <c r="X82" s="48">
        <f t="shared" si="51"/>
        <v>8944</v>
      </c>
      <c r="Y82" s="136" t="str">
        <f t="shared" si="52"/>
        <v>SUCCESS</v>
      </c>
      <c r="Z82" s="136" t="str">
        <f t="shared" si="53"/>
        <v>ERROR</v>
      </c>
      <c r="AA82" s="141">
        <f t="shared" si="43"/>
        <v>0</v>
      </c>
    </row>
    <row r="83" spans="3:27">
      <c r="C83" s="118">
        <f t="shared" si="46"/>
        <v>200.10000000000005</v>
      </c>
      <c r="D83" s="40" t="s">
        <v>0</v>
      </c>
      <c r="E83" s="56">
        <f>IF(H82="AFIII",VLOOKUP($D83,Sheet1!$A$34:$K$48,5,FALSE),IF(H82="UBIII",VLOOKUP($D83,Sheet1!$A$34:$K$48,8,FALSE),VLOOKUP($D83,Sheet1!$A$34:$K$48,2,FALSE)))</f>
        <v>2.39</v>
      </c>
      <c r="F83" s="56">
        <f>ROUNDDOWN((IF(H82="AFIII",VLOOKUP($D83,Sheet1!$A$34:$K$48,5,FALSE),IF(H82="UBIII",VLOOKUP($D83,Sheet1!$A$34:$K$48,8,FALSE),VLOOKUP($D83,Sheet1!$A$34:$K$48,2,FALSE))))*0.85,2)</f>
        <v>2.0299999999999998</v>
      </c>
      <c r="G83" s="56">
        <f t="shared" si="47"/>
        <v>2.39</v>
      </c>
      <c r="H83" s="61" t="s">
        <v>83</v>
      </c>
      <c r="I83" s="56">
        <f>I82-G83</f>
        <v>5.2199999999999989</v>
      </c>
      <c r="L83" s="56">
        <f t="shared" si="48"/>
        <v>-1.0800000000000396</v>
      </c>
      <c r="Q83" s="56">
        <f t="shared" si="54"/>
        <v>13.829999999999998</v>
      </c>
      <c r="U83" s="71">
        <f t="shared" si="49"/>
        <v>1.7799999999999589</v>
      </c>
      <c r="V83" s="130">
        <f>IF(H82="AFIII",VLOOKUP(D83,Sheet1!$A$4:$H$18,5,FALSE),IF(H82="UBIII",VLOOKUP(D83,Sheet1!$A$4:$H$18,8,FALSE),IF(H82="",VLOOKUP(D83,Sheet1!$A$4:$H$18,2,FALSE),"0")))</f>
        <v>2120</v>
      </c>
      <c r="W83" s="130">
        <f t="shared" si="50"/>
        <v>0</v>
      </c>
      <c r="X83" s="48">
        <f t="shared" si="51"/>
        <v>6824</v>
      </c>
      <c r="Y83" s="136" t="str">
        <f t="shared" si="52"/>
        <v>SUCCESS</v>
      </c>
      <c r="Z83" s="136" t="str">
        <f t="shared" si="53"/>
        <v>ERROR</v>
      </c>
      <c r="AA83" s="141">
        <f t="shared" si="43"/>
        <v>0</v>
      </c>
    </row>
    <row r="84" spans="3:27">
      <c r="C84" s="118">
        <f t="shared" si="46"/>
        <v>202.49000000000004</v>
      </c>
      <c r="D84" s="40" t="s">
        <v>0</v>
      </c>
      <c r="E84" s="56">
        <f>IF(H83="AFIII",VLOOKUP($D84,Sheet1!$A$34:$K$48,5,FALSE),IF(H83="UBIII",VLOOKUP($D84,Sheet1!$A$34:$K$48,8,FALSE),VLOOKUP($D84,Sheet1!$A$34:$K$48,2,FALSE)))</f>
        <v>2.39</v>
      </c>
      <c r="F84" s="56">
        <f>ROUNDDOWN((IF(H83="AFIII",VLOOKUP($D84,Sheet1!$A$34:$K$48,5,FALSE),IF(H83="UBIII",VLOOKUP($D84,Sheet1!$A$34:$K$48,8,FALSE),VLOOKUP($D84,Sheet1!$A$34:$K$48,2,FALSE))))*0.85,2)</f>
        <v>2.0299999999999998</v>
      </c>
      <c r="G84" s="56">
        <f t="shared" si="47"/>
        <v>2.39</v>
      </c>
      <c r="H84" s="61" t="s">
        <v>83</v>
      </c>
      <c r="I84" s="56">
        <f>I83-G84</f>
        <v>2.8299999999999987</v>
      </c>
      <c r="L84" s="56">
        <f t="shared" si="48"/>
        <v>-3.4700000000000397</v>
      </c>
      <c r="Q84" s="56">
        <f t="shared" si="54"/>
        <v>11.439999999999998</v>
      </c>
      <c r="U84" s="71">
        <f t="shared" si="49"/>
        <v>-0.61000000000004118</v>
      </c>
      <c r="V84" s="130">
        <f>IF(H83="AFIII",VLOOKUP(D84,Sheet1!$A$4:$H$18,5,FALSE),IF(H83="UBIII",VLOOKUP(D84,Sheet1!$A$4:$H$18,8,FALSE),IF(H83="",VLOOKUP(D84,Sheet1!$A$4:$H$18,2,FALSE),"0")))</f>
        <v>2120</v>
      </c>
      <c r="W84" s="130">
        <f t="shared" si="50"/>
        <v>0</v>
      </c>
      <c r="X84" s="48">
        <f t="shared" si="51"/>
        <v>4704</v>
      </c>
      <c r="Y84" s="136" t="str">
        <f t="shared" si="52"/>
        <v>SUCCESS</v>
      </c>
      <c r="Z84" s="136" t="str">
        <f t="shared" si="53"/>
        <v>ERROR</v>
      </c>
      <c r="AA84" s="141">
        <f t="shared" si="43"/>
        <v>0</v>
      </c>
    </row>
    <row r="85" spans="3:27">
      <c r="C85" s="118">
        <f t="shared" si="46"/>
        <v>204.88000000000002</v>
      </c>
      <c r="D85" s="40" t="s">
        <v>1</v>
      </c>
      <c r="E85" s="56">
        <f>IF(H84="AFIII",VLOOKUP($D85,Sheet1!$A$34:$K$48,5,FALSE),IF(H84="UBIII",VLOOKUP($D85,Sheet1!$A$34:$K$48,8,FALSE),VLOOKUP($D85,Sheet1!$A$34:$K$48,2,FALSE)))</f>
        <v>2.39</v>
      </c>
      <c r="F85" s="56">
        <f>ROUNDDOWN((IF(H84="AFIII",VLOOKUP($D85,Sheet1!$A$34:$K$48,5,FALSE),IF(H84="UBIII",VLOOKUP($D85,Sheet1!$A$34:$K$48,8,FALSE),VLOOKUP($D85,Sheet1!$A$34:$K$48,2,FALSE))))*0.85,2)</f>
        <v>2.0299999999999998</v>
      </c>
      <c r="G85" s="56">
        <f t="shared" si="47"/>
        <v>2.39</v>
      </c>
      <c r="H85" s="61" t="s">
        <v>84</v>
      </c>
      <c r="I85" s="56">
        <v>10</v>
      </c>
      <c r="Q85" s="56">
        <f t="shared" si="54"/>
        <v>9.0499999999999972</v>
      </c>
      <c r="U85" s="71">
        <f t="shared" si="49"/>
        <v>-3.0000000000000413</v>
      </c>
      <c r="V85" s="130">
        <f>IF(H84="AFIII",VLOOKUP(D85,Sheet1!$A$4:$H$18,5,FALSE),IF(H84="UBIII",VLOOKUP(D85,Sheet1!$A$4:$H$18,8,FALSE),IF(H84="",VLOOKUP(D85,Sheet1!$A$4:$H$18,2,FALSE),"0")))</f>
        <v>2120</v>
      </c>
      <c r="W85" s="130">
        <f t="shared" si="50"/>
        <v>0</v>
      </c>
      <c r="X85" s="48">
        <f t="shared" si="51"/>
        <v>2584</v>
      </c>
      <c r="Y85" s="136" t="str">
        <f t="shared" si="52"/>
        <v>SUCCESS</v>
      </c>
      <c r="Z85" s="136" t="str">
        <f t="shared" si="53"/>
        <v>ERROR</v>
      </c>
      <c r="AA85" s="141">
        <f t="shared" si="43"/>
        <v>0</v>
      </c>
    </row>
    <row r="86" spans="3:27">
      <c r="C86" s="118">
        <f t="shared" si="31"/>
        <v>207.27</v>
      </c>
      <c r="D86" s="40" t="s">
        <v>12</v>
      </c>
      <c r="E86" s="56">
        <f>IF(H85="AFIII",VLOOKUP($D86,Sheet1!$A$34:$K$48,5,FALSE),IF(H85="UBIII",VLOOKUP($D86,Sheet1!$A$34:$K$48,8,FALSE),VLOOKUP($D86,Sheet1!$A$34:$K$48,2,FALSE)))</f>
        <v>1.67</v>
      </c>
      <c r="F86" s="56">
        <f>ROUNDDOWN((IF(H85="AFIII",VLOOKUP($D86,Sheet1!$A$34:$K$48,5,FALSE),IF(H85="UBIII",VLOOKUP($D86,Sheet1!$A$34:$K$48,8,FALSE),VLOOKUP($D86,Sheet1!$A$34:$K$48,2,FALSE))))*0.85,2)</f>
        <v>1.41</v>
      </c>
      <c r="G86" s="56">
        <f t="shared" ref="G86:G111" si="55">IF(M85="迅速",IF(S85="黒魔紋",$F$1,$E$1),IF(S85="黒魔紋",IF(F86&lt;$F$1,$F$1,F86),IF(E86&lt;$E$1,$E$1,E86)))</f>
        <v>2.39</v>
      </c>
      <c r="H86" s="61" t="s">
        <v>121</v>
      </c>
      <c r="I86" s="56">
        <v>10</v>
      </c>
      <c r="Q86" s="56">
        <f t="shared" ref="Q86" si="56">Q85-G86</f>
        <v>6.6599999999999966</v>
      </c>
      <c r="U86" s="71">
        <f t="shared" ref="U86:U87" si="57">U85-G86</f>
        <v>-5.3900000000000414</v>
      </c>
      <c r="V86" s="130">
        <f>IF(H85="AFIII",VLOOKUP(D86,Sheet1!$A$4:$H$18,5,FALSE),IF(H85="UBIII",VLOOKUP(D86,Sheet1!$A$4:$H$18,8,FALSE),IF(H85="",VLOOKUP(D86,Sheet1!$A$4:$H$18,2,FALSE),"0")))</f>
        <v>265</v>
      </c>
      <c r="W86" s="130">
        <f t="shared" ref="W86:W111" si="58">IF(H85="UBIII",$X$2,0)</f>
        <v>0</v>
      </c>
      <c r="X86" s="48">
        <f t="shared" ref="X86:X111" si="59">IF(D86="フレア",IF(M86="コンバート",$X$1,0),IF(X85-V86+W86&gt;$X$3,$X$3-V86,X85-V86+W86))</f>
        <v>2319</v>
      </c>
      <c r="Y86" s="136" t="str">
        <f t="shared" si="38"/>
        <v>SUCCESS</v>
      </c>
      <c r="Z86" s="136" t="str">
        <f t="shared" si="39"/>
        <v>ERROR</v>
      </c>
      <c r="AA86" s="141">
        <f t="shared" si="43"/>
        <v>0</v>
      </c>
    </row>
    <row r="87" spans="3:27">
      <c r="C87" s="118">
        <f t="shared" si="31"/>
        <v>210.61</v>
      </c>
      <c r="D87" s="40" t="s">
        <v>21</v>
      </c>
      <c r="E87" s="56">
        <f>IF(H86="AFIII",VLOOKUP($D87,Sheet1!$A$34:$K$48,5,FALSE),IF(H86="UBIII",VLOOKUP($D87,Sheet1!$A$34:$K$48,8,FALSE),VLOOKUP($D87,Sheet1!$A$34:$K$48,2,FALSE)))</f>
        <v>3.34</v>
      </c>
      <c r="F87" s="56">
        <f>ROUNDDOWN((IF(H86="AFIII",VLOOKUP($D87,Sheet1!$A$34:$K$48,5,FALSE),IF(H86="UBIII",VLOOKUP($D87,Sheet1!$A$34:$K$48,8,FALSE),VLOOKUP($D87,Sheet1!$A$34:$K$48,2,FALSE))))*0.85,2)</f>
        <v>2.83</v>
      </c>
      <c r="G87" s="56">
        <f t="shared" si="55"/>
        <v>3.34</v>
      </c>
      <c r="H87" s="61" t="s">
        <v>121</v>
      </c>
      <c r="I87" s="56">
        <f>I86-G87</f>
        <v>6.66</v>
      </c>
      <c r="P87" s="61" t="s">
        <v>16</v>
      </c>
      <c r="Q87" s="56">
        <v>24</v>
      </c>
      <c r="U87" s="71">
        <f t="shared" si="57"/>
        <v>-8.7300000000000413</v>
      </c>
      <c r="V87" s="130">
        <f>IF(H86="AFIII",VLOOKUP(D87,Sheet1!$A$4:$H$18,5,FALSE),IF(H86="UBIII",VLOOKUP(D87,Sheet1!$A$4:$H$18,8,FALSE),IF(H86="",VLOOKUP(D87,Sheet1!$A$4:$H$18,2,FALSE),"0")))</f>
        <v>1414</v>
      </c>
      <c r="W87" s="130">
        <f t="shared" si="58"/>
        <v>7033</v>
      </c>
      <c r="X87" s="48">
        <f t="shared" si="59"/>
        <v>7938</v>
      </c>
      <c r="Y87" s="136" t="str">
        <f t="shared" si="38"/>
        <v>SUCCESS</v>
      </c>
      <c r="Z87" s="136" t="str">
        <f t="shared" si="39"/>
        <v>ERROR</v>
      </c>
      <c r="AA87" s="141">
        <f t="shared" si="43"/>
        <v>0</v>
      </c>
    </row>
    <row r="88" spans="3:27">
      <c r="C88" s="118">
        <f t="shared" si="31"/>
        <v>213</v>
      </c>
      <c r="D88" s="40" t="s">
        <v>4</v>
      </c>
      <c r="E88" s="56">
        <f>IF(H87="AFIII",VLOOKUP($D88,Sheet1!$A$34:$K$48,5,FALSE),IF(H87="UBIII",VLOOKUP($D88,Sheet1!$A$34:$K$48,8,FALSE),VLOOKUP($D88,Sheet1!$A$34:$K$48,2,FALSE)))</f>
        <v>1.67</v>
      </c>
      <c r="F88" s="56">
        <f>ROUNDDOWN((IF(H87="AFIII",VLOOKUP($D88,Sheet1!$A$34:$K$48,5,FALSE),IF(H87="UBIII",VLOOKUP($D88,Sheet1!$A$34:$K$48,8,FALSE),VLOOKUP($D88,Sheet1!$A$34:$K$48,2,FALSE))))*0.85,2)</f>
        <v>1.41</v>
      </c>
      <c r="G88" s="56">
        <f t="shared" si="55"/>
        <v>2.39</v>
      </c>
      <c r="H88" s="61" t="s">
        <v>83</v>
      </c>
      <c r="I88" s="56">
        <v>10</v>
      </c>
      <c r="J88" s="61" t="s">
        <v>104</v>
      </c>
      <c r="K88" s="56">
        <v>30</v>
      </c>
      <c r="L88" s="56">
        <v>90</v>
      </c>
      <c r="M88" s="61" t="s">
        <v>95</v>
      </c>
      <c r="N88" s="56">
        <v>20</v>
      </c>
      <c r="O88" s="56">
        <v>180</v>
      </c>
      <c r="Q88" s="56">
        <f>Q87-G88</f>
        <v>21.61</v>
      </c>
      <c r="V88" s="130">
        <f>IF(H87="AFIII",VLOOKUP(D88,Sheet1!$A$4:$H$18,5,FALSE),IF(H87="UBIII",VLOOKUP(D88,Sheet1!$A$4:$H$18,8,FALSE),IF(H87="",VLOOKUP(D88,Sheet1!$A$4:$H$18,2,FALSE),"0")))</f>
        <v>442</v>
      </c>
      <c r="W88" s="130">
        <f t="shared" si="58"/>
        <v>7033</v>
      </c>
      <c r="X88" s="48">
        <f t="shared" si="59"/>
        <v>11064</v>
      </c>
      <c r="Y88" s="136" t="str">
        <f t="shared" si="38"/>
        <v>SUCCESS</v>
      </c>
      <c r="Z88" s="136" t="str">
        <f t="shared" si="39"/>
        <v>ERROR</v>
      </c>
      <c r="AA88" s="141">
        <f t="shared" si="43"/>
        <v>0</v>
      </c>
    </row>
    <row r="89" spans="3:27">
      <c r="C89" s="118">
        <f t="shared" si="31"/>
        <v>215.86</v>
      </c>
      <c r="D89" s="40" t="s">
        <v>6</v>
      </c>
      <c r="E89" s="56">
        <f>IF(H88="AFIII",VLOOKUP($D89,Sheet1!$A$34:$K$48,5,FALSE),IF(H88="UBIII",VLOOKUP($D89,Sheet1!$A$34:$K$48,8,FALSE),VLOOKUP($D89,Sheet1!$A$34:$K$48,2,FALSE)))</f>
        <v>2.86</v>
      </c>
      <c r="F89" s="56">
        <f>ROUNDDOWN((IF(H88="AFIII",VLOOKUP($D89,Sheet1!$A$34:$K$48,5,FALSE),IF(H88="UBIII",VLOOKUP($D89,Sheet1!$A$34:$K$48,8,FALSE),VLOOKUP($D89,Sheet1!$A$34:$K$48,2,FALSE))))*0.85,2)</f>
        <v>2.4300000000000002</v>
      </c>
      <c r="G89" s="56">
        <f t="shared" si="55"/>
        <v>2.86</v>
      </c>
      <c r="H89" s="61" t="s">
        <v>83</v>
      </c>
      <c r="I89" s="56">
        <f>I88-G89</f>
        <v>7.1400000000000006</v>
      </c>
      <c r="K89" s="56">
        <f>K88-G89</f>
        <v>27.14</v>
      </c>
      <c r="L89" s="56">
        <f>L88-G89</f>
        <v>87.14</v>
      </c>
      <c r="N89" s="56">
        <f>N88-G89</f>
        <v>17.14</v>
      </c>
      <c r="Q89" s="56">
        <f t="shared" ref="Q89:Q97" si="60">Q88-G89</f>
        <v>18.75</v>
      </c>
      <c r="S89" s="61" t="s">
        <v>51</v>
      </c>
      <c r="T89" s="56">
        <v>30</v>
      </c>
      <c r="U89" s="71">
        <v>90</v>
      </c>
      <c r="V89" s="130">
        <f>IF(H88="AFIII",VLOOKUP(D89,Sheet1!$A$4:$H$18,5,FALSE),IF(H88="UBIII",VLOOKUP(D89,Sheet1!$A$4:$H$18,8,FALSE),IF(H88="",VLOOKUP(D89,Sheet1!$A$4:$H$18,2,FALSE),"0")))</f>
        <v>1768</v>
      </c>
      <c r="W89" s="130">
        <f t="shared" si="58"/>
        <v>0</v>
      </c>
      <c r="X89" s="48">
        <f t="shared" si="59"/>
        <v>9296</v>
      </c>
      <c r="Y89" s="136" t="str">
        <f t="shared" si="38"/>
        <v>SUCCESS</v>
      </c>
      <c r="Z89" s="136" t="str">
        <f t="shared" si="39"/>
        <v>SUCCESS</v>
      </c>
      <c r="AA89" s="141">
        <f t="shared" si="43"/>
        <v>0</v>
      </c>
    </row>
    <row r="90" spans="3:27">
      <c r="C90" s="118">
        <f t="shared" si="31"/>
        <v>218.29000000000002</v>
      </c>
      <c r="D90" s="40" t="s">
        <v>6</v>
      </c>
      <c r="E90" s="56">
        <f>IF(H89="AFIII",VLOOKUP($D90,Sheet1!$A$34:$K$48,5,FALSE),IF(H89="UBIII",VLOOKUP($D90,Sheet1!$A$34:$K$48,8,FALSE),VLOOKUP($D90,Sheet1!$A$34:$K$48,2,FALSE)))</f>
        <v>2.86</v>
      </c>
      <c r="F90" s="56">
        <f>ROUNDDOWN((IF(H89="AFIII",VLOOKUP($D90,Sheet1!$A$34:$K$48,5,FALSE),IF(H89="UBIII",VLOOKUP($D90,Sheet1!$A$34:$K$48,8,FALSE),VLOOKUP($D90,Sheet1!$A$34:$K$48,2,FALSE))))*0.85,2)</f>
        <v>2.4300000000000002</v>
      </c>
      <c r="G90" s="56">
        <f t="shared" si="55"/>
        <v>2.4300000000000002</v>
      </c>
      <c r="H90" s="61" t="s">
        <v>83</v>
      </c>
      <c r="I90" s="56">
        <f>I89-G90</f>
        <v>4.7100000000000009</v>
      </c>
      <c r="K90" s="56">
        <f t="shared" ref="K90:K98" si="61">K89-G90</f>
        <v>24.71</v>
      </c>
      <c r="L90" s="56">
        <f t="shared" ref="L90:L99" si="62">L89-G90</f>
        <v>84.71</v>
      </c>
      <c r="N90" s="56">
        <f t="shared" ref="N90:N96" si="63">N89-G90</f>
        <v>14.71</v>
      </c>
      <c r="Q90" s="56">
        <f t="shared" si="60"/>
        <v>16.32</v>
      </c>
      <c r="S90" s="61" t="s">
        <v>51</v>
      </c>
      <c r="T90" s="56">
        <f>T89-G90</f>
        <v>27.57</v>
      </c>
      <c r="U90" s="71">
        <f>U89-G90</f>
        <v>87.57</v>
      </c>
      <c r="V90" s="130">
        <f>IF(H89="AFIII",VLOOKUP(D90,Sheet1!$A$4:$H$18,5,FALSE),IF(H89="UBIII",VLOOKUP(D90,Sheet1!$A$4:$H$18,8,FALSE),IF(H89="",VLOOKUP(D90,Sheet1!$A$4:$H$18,2,FALSE),"0")))</f>
        <v>1768</v>
      </c>
      <c r="W90" s="130">
        <f t="shared" si="58"/>
        <v>0</v>
      </c>
      <c r="X90" s="48">
        <f t="shared" si="59"/>
        <v>7528</v>
      </c>
      <c r="Y90" s="136" t="str">
        <f t="shared" si="38"/>
        <v>SUCCESS</v>
      </c>
      <c r="Z90" s="136" t="str">
        <f t="shared" si="39"/>
        <v>SUCCESS</v>
      </c>
      <c r="AA90" s="141">
        <f t="shared" si="43"/>
        <v>0</v>
      </c>
    </row>
    <row r="91" spans="3:27">
      <c r="C91" s="118">
        <f t="shared" si="31"/>
        <v>220.32000000000002</v>
      </c>
      <c r="D91" s="40" t="s">
        <v>0</v>
      </c>
      <c r="E91" s="56">
        <f>IF(H90="AFIII",VLOOKUP($D91,Sheet1!$A$34:$K$48,5,FALSE),IF(H90="UBIII",VLOOKUP($D91,Sheet1!$A$34:$K$48,8,FALSE),VLOOKUP($D91,Sheet1!$A$34:$K$48,2,FALSE)))</f>
        <v>2.39</v>
      </c>
      <c r="F91" s="56">
        <f>ROUNDDOWN((IF(H90="AFIII",VLOOKUP($D91,Sheet1!$A$34:$K$48,5,FALSE),IF(H90="UBIII",VLOOKUP($D91,Sheet1!$A$34:$K$48,8,FALSE),VLOOKUP($D91,Sheet1!$A$34:$K$48,2,FALSE))))*0.85,2)</f>
        <v>2.0299999999999998</v>
      </c>
      <c r="G91" s="56">
        <f t="shared" si="55"/>
        <v>2.0299999999999998</v>
      </c>
      <c r="H91" s="61" t="s">
        <v>83</v>
      </c>
      <c r="I91" s="56">
        <v>10</v>
      </c>
      <c r="K91" s="56">
        <f t="shared" si="61"/>
        <v>22.68</v>
      </c>
      <c r="L91" s="56">
        <f t="shared" si="62"/>
        <v>82.679999999999993</v>
      </c>
      <c r="N91" s="56">
        <f t="shared" si="63"/>
        <v>12.680000000000001</v>
      </c>
      <c r="Q91" s="56">
        <f t="shared" si="60"/>
        <v>14.290000000000001</v>
      </c>
      <c r="S91" s="61" t="s">
        <v>51</v>
      </c>
      <c r="T91" s="56">
        <f t="shared" ref="T91:T103" si="64">T90-G91</f>
        <v>25.54</v>
      </c>
      <c r="U91" s="71">
        <f t="shared" ref="U91:U99" si="65">U90-G91</f>
        <v>85.539999999999992</v>
      </c>
      <c r="V91" s="130">
        <f>IF(H90="AFIII",VLOOKUP(D91,Sheet1!$A$4:$H$18,5,FALSE),IF(H90="UBIII",VLOOKUP(D91,Sheet1!$A$4:$H$18,8,FALSE),IF(H90="",VLOOKUP(D91,Sheet1!$A$4:$H$18,2,FALSE),"0")))</f>
        <v>2120</v>
      </c>
      <c r="W91" s="130">
        <f t="shared" si="58"/>
        <v>0</v>
      </c>
      <c r="X91" s="48">
        <f t="shared" si="59"/>
        <v>5408</v>
      </c>
      <c r="Y91" s="136" t="str">
        <f t="shared" si="38"/>
        <v>SUCCESS</v>
      </c>
      <c r="Z91" s="136" t="str">
        <f t="shared" si="39"/>
        <v>SUCCESS</v>
      </c>
      <c r="AA91" s="141">
        <f t="shared" si="43"/>
        <v>0</v>
      </c>
    </row>
    <row r="92" spans="3:27">
      <c r="C92" s="118">
        <f t="shared" si="31"/>
        <v>222.75000000000003</v>
      </c>
      <c r="D92" s="40" t="s">
        <v>6</v>
      </c>
      <c r="E92" s="56">
        <f>IF(H91="AFIII",VLOOKUP($D92,Sheet1!$A$34:$K$48,5,FALSE),IF(H91="UBIII",VLOOKUP($D92,Sheet1!$A$34:$K$48,8,FALSE),VLOOKUP($D92,Sheet1!$A$34:$K$48,2,FALSE)))</f>
        <v>2.86</v>
      </c>
      <c r="F92" s="56">
        <f>ROUNDDOWN((IF(H91="AFIII",VLOOKUP($D92,Sheet1!$A$34:$K$48,5,FALSE),IF(H91="UBIII",VLOOKUP($D92,Sheet1!$A$34:$K$48,8,FALSE),VLOOKUP($D92,Sheet1!$A$34:$K$48,2,FALSE))))*0.85,2)</f>
        <v>2.4300000000000002</v>
      </c>
      <c r="G92" s="56">
        <f t="shared" si="55"/>
        <v>2.4300000000000002</v>
      </c>
      <c r="H92" s="61" t="s">
        <v>83</v>
      </c>
      <c r="I92" s="56">
        <f>I91-G92</f>
        <v>7.57</v>
      </c>
      <c r="K92" s="56">
        <f t="shared" si="61"/>
        <v>20.25</v>
      </c>
      <c r="L92" s="56">
        <f t="shared" si="62"/>
        <v>80.249999999999986</v>
      </c>
      <c r="N92" s="56">
        <f t="shared" si="63"/>
        <v>10.250000000000002</v>
      </c>
      <c r="Q92" s="56">
        <f t="shared" si="60"/>
        <v>11.860000000000001</v>
      </c>
      <c r="S92" s="61" t="s">
        <v>51</v>
      </c>
      <c r="T92" s="56">
        <f t="shared" si="64"/>
        <v>23.11</v>
      </c>
      <c r="U92" s="71">
        <f t="shared" si="65"/>
        <v>83.109999999999985</v>
      </c>
      <c r="V92" s="130">
        <f>IF(H91="AFIII",VLOOKUP(D92,Sheet1!$A$4:$H$18,5,FALSE),IF(H91="UBIII",VLOOKUP(D92,Sheet1!$A$4:$H$18,8,FALSE),IF(H91="",VLOOKUP(D92,Sheet1!$A$4:$H$18,2,FALSE),"0")))</f>
        <v>1768</v>
      </c>
      <c r="W92" s="130">
        <f t="shared" si="58"/>
        <v>0</v>
      </c>
      <c r="X92" s="48">
        <f t="shared" si="59"/>
        <v>3640</v>
      </c>
      <c r="Y92" s="136" t="str">
        <f t="shared" si="38"/>
        <v>SUCCESS</v>
      </c>
      <c r="Z92" s="136" t="str">
        <f t="shared" si="39"/>
        <v>SUCCESS</v>
      </c>
      <c r="AA92" s="141">
        <f t="shared" si="43"/>
        <v>0</v>
      </c>
    </row>
    <row r="93" spans="3:27">
      <c r="C93" s="118">
        <f t="shared" si="31"/>
        <v>225.18000000000004</v>
      </c>
      <c r="D93" s="40" t="s">
        <v>6</v>
      </c>
      <c r="E93" s="56">
        <f>IF(H92="AFIII",VLOOKUP($D93,Sheet1!$A$34:$K$48,5,FALSE),IF(H92="UBIII",VLOOKUP($D93,Sheet1!$A$34:$K$48,8,FALSE),VLOOKUP($D93,Sheet1!$A$34:$K$48,2,FALSE)))</f>
        <v>2.86</v>
      </c>
      <c r="F93" s="56">
        <f>ROUNDDOWN((IF(H92="AFIII",VLOOKUP($D93,Sheet1!$A$34:$K$48,5,FALSE),IF(H92="UBIII",VLOOKUP($D93,Sheet1!$A$34:$K$48,8,FALSE),VLOOKUP($D93,Sheet1!$A$34:$K$48,2,FALSE))))*0.85,2)</f>
        <v>2.4300000000000002</v>
      </c>
      <c r="G93" s="56">
        <f t="shared" si="55"/>
        <v>2.4300000000000002</v>
      </c>
      <c r="H93" s="61" t="s">
        <v>83</v>
      </c>
      <c r="I93" s="56">
        <f>I92-G93</f>
        <v>5.1400000000000006</v>
      </c>
      <c r="K93" s="56">
        <f t="shared" si="61"/>
        <v>17.82</v>
      </c>
      <c r="L93" s="56">
        <f t="shared" si="62"/>
        <v>77.819999999999979</v>
      </c>
      <c r="M93" s="61" t="s">
        <v>101</v>
      </c>
      <c r="N93" s="56">
        <f>N92-G93</f>
        <v>7.8200000000000021</v>
      </c>
      <c r="O93" s="56">
        <v>60</v>
      </c>
      <c r="Q93" s="56">
        <f t="shared" si="60"/>
        <v>9.4300000000000015</v>
      </c>
      <c r="S93" s="61" t="s">
        <v>51</v>
      </c>
      <c r="T93" s="56">
        <f t="shared" si="64"/>
        <v>20.68</v>
      </c>
      <c r="U93" s="71">
        <f t="shared" si="65"/>
        <v>80.679999999999978</v>
      </c>
      <c r="V93" s="130">
        <f>IF(H92="AFIII",VLOOKUP(D93,Sheet1!$A$4:$H$18,5,FALSE),IF(H92="UBIII",VLOOKUP(D93,Sheet1!$A$4:$H$18,8,FALSE),IF(H92="",VLOOKUP(D93,Sheet1!$A$4:$H$18,2,FALSE),"0")))</f>
        <v>1768</v>
      </c>
      <c r="W93" s="130">
        <f t="shared" si="58"/>
        <v>0</v>
      </c>
      <c r="X93" s="48">
        <f t="shared" si="59"/>
        <v>1872</v>
      </c>
      <c r="Y93" s="136" t="str">
        <f t="shared" si="38"/>
        <v>SUCCESS</v>
      </c>
      <c r="Z93" s="136" t="str">
        <f t="shared" si="39"/>
        <v>SUCCESS</v>
      </c>
      <c r="AA93" s="141">
        <f t="shared" si="43"/>
        <v>0</v>
      </c>
    </row>
    <row r="94" spans="3:27">
      <c r="C94" s="118">
        <f t="shared" si="31"/>
        <v>227.21000000000004</v>
      </c>
      <c r="D94" s="40" t="s">
        <v>10</v>
      </c>
      <c r="E94" s="56">
        <f>IF(H93="AFIII",VLOOKUP($D94,Sheet1!$A$34:$K$48,5,FALSE),IF(H93="UBIII",VLOOKUP($D94,Sheet1!$A$34:$K$48,8,FALSE),VLOOKUP($D94,Sheet1!$A$34:$K$48,2,FALSE)))</f>
        <v>3.82</v>
      </c>
      <c r="F94" s="56">
        <f>ROUNDDOWN((IF(H93="AFIII",VLOOKUP($D94,Sheet1!$A$34:$K$48,5,FALSE),IF(H93="UBIII",VLOOKUP($D94,Sheet1!$A$34:$K$48,8,FALSE),VLOOKUP($D94,Sheet1!$A$34:$K$48,2,FALSE))))*0.85,2)</f>
        <v>3.24</v>
      </c>
      <c r="G94" s="56">
        <f t="shared" si="55"/>
        <v>2.0299999999999998</v>
      </c>
      <c r="H94" s="61" t="s">
        <v>83</v>
      </c>
      <c r="I94" s="56">
        <v>10</v>
      </c>
      <c r="K94" s="56">
        <f t="shared" si="61"/>
        <v>15.790000000000001</v>
      </c>
      <c r="L94" s="56">
        <f t="shared" si="62"/>
        <v>75.789999999999978</v>
      </c>
      <c r="M94" s="61" t="s">
        <v>99</v>
      </c>
      <c r="N94" s="56">
        <f t="shared" si="63"/>
        <v>5.7900000000000027</v>
      </c>
      <c r="O94" s="56">
        <v>180</v>
      </c>
      <c r="P94" s="61" t="s">
        <v>130</v>
      </c>
      <c r="Q94" s="56">
        <f t="shared" si="60"/>
        <v>7.4000000000000021</v>
      </c>
      <c r="R94" s="56">
        <v>60</v>
      </c>
      <c r="S94" s="61" t="s">
        <v>51</v>
      </c>
      <c r="T94" s="56">
        <f t="shared" si="64"/>
        <v>18.649999999999999</v>
      </c>
      <c r="U94" s="71">
        <f t="shared" si="65"/>
        <v>78.649999999999977</v>
      </c>
      <c r="V94" s="130">
        <f>IF(H93="AFIII",VLOOKUP(D94,Sheet1!$A$4:$H$18,5,FALSE),IF(H93="UBIII",VLOOKUP(D94,Sheet1!$A$4:$H$18,8,FALSE),IF(H93="",VLOOKUP(D94,Sheet1!$A$4:$H$18,2,FALSE),"0")))</f>
        <v>884</v>
      </c>
      <c r="W94" s="130">
        <f t="shared" si="58"/>
        <v>0</v>
      </c>
      <c r="X94" s="48">
        <f t="shared" si="59"/>
        <v>3451</v>
      </c>
      <c r="Y94" s="136" t="str">
        <f t="shared" si="38"/>
        <v>SUCCESS</v>
      </c>
      <c r="Z94" s="136" t="str">
        <f t="shared" si="39"/>
        <v>SUCCESS</v>
      </c>
      <c r="AA94" s="141">
        <f t="shared" si="43"/>
        <v>0</v>
      </c>
    </row>
    <row r="95" spans="3:27">
      <c r="C95" s="118">
        <f t="shared" si="31"/>
        <v>229.24000000000004</v>
      </c>
      <c r="D95" s="40" t="s">
        <v>1</v>
      </c>
      <c r="E95" s="56">
        <f>IF(H94="AFIII",VLOOKUP($D95,Sheet1!$A$34:$K$48,5,FALSE),IF(H94="UBIII",VLOOKUP($D95,Sheet1!$A$34:$K$48,8,FALSE),VLOOKUP($D95,Sheet1!$A$34:$K$48,2,FALSE)))</f>
        <v>2.39</v>
      </c>
      <c r="F95" s="56">
        <f>ROUNDDOWN((IF(H94="AFIII",VLOOKUP($D95,Sheet1!$A$34:$K$48,5,FALSE),IF(H94="UBIII",VLOOKUP($D95,Sheet1!$A$34:$K$48,8,FALSE),VLOOKUP($D95,Sheet1!$A$34:$K$48,2,FALSE))))*0.85,2)</f>
        <v>2.0299999999999998</v>
      </c>
      <c r="G95" s="56">
        <f t="shared" si="55"/>
        <v>2.0299999999999998</v>
      </c>
      <c r="H95" s="61" t="s">
        <v>83</v>
      </c>
      <c r="I95" s="56">
        <v>10</v>
      </c>
      <c r="K95" s="56">
        <f t="shared" si="61"/>
        <v>13.760000000000002</v>
      </c>
      <c r="L95" s="56">
        <f t="shared" si="62"/>
        <v>73.759999999999977</v>
      </c>
      <c r="N95" s="56">
        <f t="shared" si="63"/>
        <v>3.7600000000000029</v>
      </c>
      <c r="Q95" s="56">
        <f t="shared" si="60"/>
        <v>5.3700000000000028</v>
      </c>
      <c r="R95" s="56">
        <f>R94-G95</f>
        <v>57.97</v>
      </c>
      <c r="S95" s="61" t="s">
        <v>51</v>
      </c>
      <c r="T95" s="56">
        <f t="shared" si="64"/>
        <v>16.619999999999997</v>
      </c>
      <c r="U95" s="71">
        <f t="shared" si="65"/>
        <v>76.619999999999976</v>
      </c>
      <c r="V95" s="130">
        <f>IF(H94="AFIII",VLOOKUP(D95,Sheet1!$A$4:$H$18,5,FALSE),IF(H94="UBIII",VLOOKUP(D95,Sheet1!$A$4:$H$18,8,FALSE),IF(H94="",VLOOKUP(D95,Sheet1!$A$4:$H$18,2,FALSE),"0")))</f>
        <v>2120</v>
      </c>
      <c r="W95" s="130">
        <f t="shared" si="58"/>
        <v>0</v>
      </c>
      <c r="X95" s="48">
        <f t="shared" si="59"/>
        <v>1331</v>
      </c>
      <c r="Y95" s="136" t="str">
        <f t="shared" si="38"/>
        <v>SUCCESS</v>
      </c>
      <c r="Z95" s="136" t="str">
        <f t="shared" si="39"/>
        <v>SUCCESS</v>
      </c>
      <c r="AA95" s="141">
        <f t="shared" si="43"/>
        <v>0</v>
      </c>
    </row>
    <row r="96" spans="3:27">
      <c r="C96" s="118">
        <f t="shared" si="31"/>
        <v>231.27000000000004</v>
      </c>
      <c r="D96" s="40" t="s">
        <v>129</v>
      </c>
      <c r="E96" s="56">
        <f>IF(H95="AFIII",VLOOKUP($D96,Sheet1!$A$34:$K$48,5,FALSE),IF(H95="UBIII",VLOOKUP($D96,Sheet1!$A$34:$K$48,8,FALSE),VLOOKUP($D96,Sheet1!$A$34:$K$48,2,FALSE)))</f>
        <v>2.39</v>
      </c>
      <c r="F96" s="56">
        <f>ROUNDDOWN((IF(H95="AFIII",VLOOKUP($D96,Sheet1!$A$34:$K$48,5,FALSE),IF(H95="UBIII",VLOOKUP($D96,Sheet1!$A$34:$K$48,8,FALSE),VLOOKUP($D96,Sheet1!$A$34:$K$48,2,FALSE))))*0.85,2)</f>
        <v>2.0299999999999998</v>
      </c>
      <c r="G96" s="56">
        <f t="shared" si="55"/>
        <v>2.0299999999999998</v>
      </c>
      <c r="H96" s="61" t="s">
        <v>83</v>
      </c>
      <c r="I96" s="56">
        <f>I95-G96</f>
        <v>7.9700000000000006</v>
      </c>
      <c r="K96" s="56">
        <f t="shared" si="61"/>
        <v>11.730000000000002</v>
      </c>
      <c r="L96" s="56">
        <f t="shared" si="62"/>
        <v>71.729999999999976</v>
      </c>
      <c r="M96" s="61" t="s">
        <v>139</v>
      </c>
      <c r="N96" s="56">
        <f t="shared" si="63"/>
        <v>1.7300000000000031</v>
      </c>
      <c r="Q96" s="56">
        <f t="shared" si="60"/>
        <v>3.340000000000003</v>
      </c>
      <c r="R96" s="56">
        <f>R94-G95</f>
        <v>57.97</v>
      </c>
      <c r="S96" s="61" t="s">
        <v>51</v>
      </c>
      <c r="T96" s="56">
        <f t="shared" si="64"/>
        <v>14.589999999999998</v>
      </c>
      <c r="U96" s="71">
        <f t="shared" si="65"/>
        <v>74.589999999999975</v>
      </c>
      <c r="V96" s="130">
        <f>IF(H95="AFIII",VLOOKUP(D96,Sheet1!$A$4:$H$18,5,FALSE),IF(H95="UBIII",VLOOKUP(D96,Sheet1!$A$4:$H$18,8,FALSE),IF(H95="",VLOOKUP(D96,Sheet1!$A$4:$H$18,2,FALSE),"0")))</f>
        <v>0</v>
      </c>
      <c r="W96" s="130">
        <f t="shared" si="58"/>
        <v>0</v>
      </c>
      <c r="X96" s="48">
        <f t="shared" si="59"/>
        <v>1331</v>
      </c>
      <c r="Y96" s="136" t="str">
        <f t="shared" si="38"/>
        <v>SUCCESS</v>
      </c>
      <c r="Z96" s="136" t="str">
        <f t="shared" si="39"/>
        <v>SUCCESS</v>
      </c>
      <c r="AA96" s="141">
        <f t="shared" si="43"/>
        <v>0</v>
      </c>
    </row>
    <row r="97" spans="3:27">
      <c r="C97" s="118">
        <f t="shared" si="31"/>
        <v>233.30000000000004</v>
      </c>
      <c r="D97" s="40" t="s">
        <v>12</v>
      </c>
      <c r="E97" s="56">
        <f>IF(H96="AFIII",VLOOKUP($D97,Sheet1!$A$34:$K$48,5,FALSE),IF(H96="UBIII",VLOOKUP($D97,Sheet1!$A$34:$K$48,8,FALSE),VLOOKUP($D97,Sheet1!$A$34:$K$48,2,FALSE)))</f>
        <v>1.67</v>
      </c>
      <c r="F97" s="56">
        <f>ROUNDDOWN((IF(H96="AFIII",VLOOKUP($D97,Sheet1!$A$34:$K$48,5,FALSE),IF(H96="UBIII",VLOOKUP($D97,Sheet1!$A$34:$K$48,8,FALSE),VLOOKUP($D97,Sheet1!$A$34:$K$48,2,FALSE))))*0.85,2)</f>
        <v>1.41</v>
      </c>
      <c r="G97" s="56">
        <f t="shared" si="55"/>
        <v>2.0299999999999998</v>
      </c>
      <c r="H97" s="61" t="s">
        <v>121</v>
      </c>
      <c r="I97" s="56">
        <v>10</v>
      </c>
      <c r="K97" s="56">
        <f t="shared" si="61"/>
        <v>9.7000000000000028</v>
      </c>
      <c r="L97" s="56">
        <f t="shared" si="62"/>
        <v>69.699999999999974</v>
      </c>
      <c r="N97" s="56">
        <f>N96-G97</f>
        <v>-0.29999999999999671</v>
      </c>
      <c r="O97" s="56">
        <f>O93-G94-G95-G97-G96</f>
        <v>51.879999999999995</v>
      </c>
      <c r="Q97" s="56">
        <f t="shared" si="60"/>
        <v>1.3100000000000032</v>
      </c>
      <c r="R97" s="56">
        <f>R95-G96</f>
        <v>55.94</v>
      </c>
      <c r="S97" s="61" t="s">
        <v>51</v>
      </c>
      <c r="T97" s="56">
        <f t="shared" si="64"/>
        <v>12.559999999999999</v>
      </c>
      <c r="U97" s="71">
        <f t="shared" si="65"/>
        <v>72.559999999999974</v>
      </c>
      <c r="V97" s="130">
        <f>IF(H96="AFIII",VLOOKUP(D97,Sheet1!$A$4:$H$18,5,FALSE),IF(H96="UBIII",VLOOKUP(D97,Sheet1!$A$4:$H$18,8,FALSE),IF(H96="",VLOOKUP(D97,Sheet1!$A$4:$H$18,2,FALSE),"0")))</f>
        <v>265</v>
      </c>
      <c r="W97" s="130">
        <f t="shared" si="58"/>
        <v>0</v>
      </c>
      <c r="X97" s="48">
        <f t="shared" si="59"/>
        <v>1066</v>
      </c>
      <c r="Y97" s="136" t="str">
        <f t="shared" si="38"/>
        <v>SUCCESS</v>
      </c>
      <c r="Z97" s="136" t="str">
        <f t="shared" si="39"/>
        <v>SUCCESS</v>
      </c>
      <c r="AA97" s="141">
        <f t="shared" si="43"/>
        <v>0</v>
      </c>
    </row>
    <row r="98" spans="3:27">
      <c r="C98" s="118">
        <f t="shared" si="31"/>
        <v>235.73000000000005</v>
      </c>
      <c r="D98" s="40" t="s">
        <v>19</v>
      </c>
      <c r="E98" s="56">
        <f>IF(H97="AFIII",VLOOKUP($D98,Sheet1!$A$34:$K$48,5,FALSE),IF(H97="UBIII",VLOOKUP($D98,Sheet1!$A$34:$K$48,8,FALSE),VLOOKUP($D98,Sheet1!$A$34:$K$48,2,FALSE)))</f>
        <v>2.86</v>
      </c>
      <c r="F98" s="56">
        <f>ROUNDDOWN((IF(H97="AFIII",VLOOKUP($D98,Sheet1!$A$34:$K$48,5,FALSE),IF(H97="UBIII",VLOOKUP($D98,Sheet1!$A$34:$K$48,8,FALSE),VLOOKUP($D98,Sheet1!$A$34:$K$48,2,FALSE))))*0.85,2)</f>
        <v>2.4300000000000002</v>
      </c>
      <c r="G98" s="56">
        <f t="shared" si="55"/>
        <v>2.4300000000000002</v>
      </c>
      <c r="H98" s="61" t="s">
        <v>121</v>
      </c>
      <c r="I98" s="56">
        <f>I97-G98</f>
        <v>7.57</v>
      </c>
      <c r="K98" s="56">
        <f t="shared" si="61"/>
        <v>7.2700000000000031</v>
      </c>
      <c r="L98" s="56">
        <f t="shared" si="62"/>
        <v>67.269999999999968</v>
      </c>
      <c r="O98" s="56">
        <f>O97-G98</f>
        <v>49.449999999999996</v>
      </c>
      <c r="P98" s="61" t="s">
        <v>17</v>
      </c>
      <c r="Q98" s="56">
        <v>21</v>
      </c>
      <c r="R98" s="56">
        <f>R96-G97</f>
        <v>55.94</v>
      </c>
      <c r="S98" s="61" t="s">
        <v>51</v>
      </c>
      <c r="T98" s="56">
        <f t="shared" si="64"/>
        <v>10.129999999999999</v>
      </c>
      <c r="U98" s="71">
        <f t="shared" si="65"/>
        <v>70.129999999999967</v>
      </c>
      <c r="V98" s="130">
        <f>IF(H97="AFIII",VLOOKUP(D98,Sheet1!$A$4:$H$18,5,FALSE),IF(H97="UBIII",VLOOKUP(D98,Sheet1!$A$4:$H$18,8,FALSE),IF(H97="",VLOOKUP(D98,Sheet1!$A$4:$H$18,2,FALSE),"0")))</f>
        <v>1060</v>
      </c>
      <c r="W98" s="130">
        <f t="shared" si="58"/>
        <v>7033</v>
      </c>
      <c r="X98" s="48">
        <f t="shared" si="59"/>
        <v>7039</v>
      </c>
      <c r="Y98" s="136" t="str">
        <f t="shared" si="38"/>
        <v>SUCCESS</v>
      </c>
      <c r="Z98" s="136" t="str">
        <f t="shared" si="39"/>
        <v>SUCCESS</v>
      </c>
      <c r="AA98" s="141">
        <f t="shared" si="43"/>
        <v>0</v>
      </c>
    </row>
    <row r="99" spans="3:27">
      <c r="C99" s="118">
        <f t="shared" si="31"/>
        <v>238.16000000000005</v>
      </c>
      <c r="D99" s="40" t="s">
        <v>14</v>
      </c>
      <c r="E99" s="56">
        <f>IF(H98="AFIII",VLOOKUP($D99,Sheet1!$A$34:$K$48,5,FALSE),IF(H98="UBIII",VLOOKUP($D99,Sheet1!$A$34:$K$48,8,FALSE),VLOOKUP($D99,Sheet1!$A$34:$K$48,2,FALSE)))</f>
        <v>2.86</v>
      </c>
      <c r="F99" s="56">
        <f>ROUNDDOWN((IF(H98="AFIII",VLOOKUP($D99,Sheet1!$A$34:$K$48,5,FALSE),IF(H98="UBIII",VLOOKUP($D99,Sheet1!$A$34:$K$48,8,FALSE),VLOOKUP($D99,Sheet1!$A$34:$K$48,2,FALSE))))*0.85,2)</f>
        <v>2.4300000000000002</v>
      </c>
      <c r="G99" s="56">
        <f t="shared" si="55"/>
        <v>2.4300000000000002</v>
      </c>
      <c r="H99" s="61" t="s">
        <v>121</v>
      </c>
      <c r="I99" s="56">
        <f>I98-G99</f>
        <v>5.1400000000000006</v>
      </c>
      <c r="K99" s="56">
        <v>25</v>
      </c>
      <c r="L99" s="56">
        <f t="shared" si="62"/>
        <v>64.839999999999961</v>
      </c>
      <c r="O99" s="56">
        <f t="shared" ref="O99:O117" si="66">O98-G99</f>
        <v>47.019999999999996</v>
      </c>
      <c r="Q99" s="56">
        <f>Q98-G99</f>
        <v>18.57</v>
      </c>
      <c r="R99" s="56">
        <f>R97-G98</f>
        <v>53.51</v>
      </c>
      <c r="S99" s="61" t="s">
        <v>51</v>
      </c>
      <c r="T99" s="56">
        <f t="shared" si="64"/>
        <v>7.6999999999999993</v>
      </c>
      <c r="U99" s="71">
        <f t="shared" si="65"/>
        <v>67.69999999999996</v>
      </c>
      <c r="V99" s="130">
        <f>IF(H98="AFIII",VLOOKUP(D99,Sheet1!$A$4:$H$18,5,FALSE),IF(H98="UBIII",VLOOKUP(D99,Sheet1!$A$4:$H$18,8,FALSE),IF(H98="",VLOOKUP(D99,Sheet1!$A$4:$H$18,2,FALSE),"0")))</f>
        <v>884</v>
      </c>
      <c r="W99" s="130">
        <f t="shared" si="58"/>
        <v>7033</v>
      </c>
      <c r="X99" s="48">
        <f t="shared" si="59"/>
        <v>10622</v>
      </c>
      <c r="Y99" s="136" t="str">
        <f t="shared" si="38"/>
        <v>SUCCESS</v>
      </c>
      <c r="Z99" s="136" t="str">
        <f t="shared" si="39"/>
        <v>SUCCESS</v>
      </c>
      <c r="AA99" s="141">
        <f t="shared" si="43"/>
        <v>0</v>
      </c>
    </row>
    <row r="100" spans="3:27">
      <c r="C100" s="118">
        <f t="shared" si="31"/>
        <v>240.19000000000005</v>
      </c>
      <c r="D100" s="40" t="s">
        <v>147</v>
      </c>
      <c r="E100" s="56">
        <f>IF(H99="AFIII",VLOOKUP($D100,Sheet1!$A$34:$K$48,5,FALSE),IF(H99="UBIII",VLOOKUP($D100,Sheet1!$A$34:$K$48,8,FALSE),VLOOKUP($D100,Sheet1!$A$34:$K$48,2,FALSE)))</f>
        <v>1.67</v>
      </c>
      <c r="F100" s="56">
        <f>ROUNDDOWN((IF(H99="AFIII",VLOOKUP($D100,Sheet1!$A$34:$K$48,5,FALSE),IF(H99="UBIII",VLOOKUP($D100,Sheet1!$A$34:$K$48,8,FALSE),VLOOKUP($D100,Sheet1!$A$34:$K$48,2,FALSE))))*0.85,2)</f>
        <v>1.41</v>
      </c>
      <c r="G100" s="56">
        <f t="shared" si="55"/>
        <v>2.0299999999999998</v>
      </c>
      <c r="H100" s="61" t="s">
        <v>84</v>
      </c>
      <c r="I100" s="56">
        <v>10</v>
      </c>
      <c r="K100" s="56">
        <f t="shared" si="29"/>
        <v>22.97</v>
      </c>
      <c r="L100" s="56">
        <f t="shared" si="30"/>
        <v>62.80999999999996</v>
      </c>
      <c r="O100" s="56">
        <f t="shared" si="66"/>
        <v>44.989999999999995</v>
      </c>
      <c r="S100" s="61" t="s">
        <v>51</v>
      </c>
      <c r="T100" s="56">
        <f t="shared" si="64"/>
        <v>5.67</v>
      </c>
      <c r="U100" s="71">
        <f t="shared" si="33"/>
        <v>65.669999999999959</v>
      </c>
      <c r="V100" s="130">
        <f>IF(H99="AFIII",VLOOKUP(D100,Sheet1!$A$4:$H$18,5,FALSE),IF(H99="UBIII",VLOOKUP(D100,Sheet1!$A$4:$H$18,8,FALSE),IF(H99="",VLOOKUP(D100,Sheet1!$A$4:$H$18,2,FALSE),"0")))</f>
        <v>442</v>
      </c>
      <c r="W100" s="130">
        <f t="shared" si="58"/>
        <v>7033</v>
      </c>
      <c r="X100" s="48">
        <f t="shared" si="59"/>
        <v>11064</v>
      </c>
      <c r="Y100" s="136" t="str">
        <f t="shared" si="38"/>
        <v>SUCCESS</v>
      </c>
      <c r="Z100" s="136" t="str">
        <f t="shared" si="39"/>
        <v>SUCCESS</v>
      </c>
      <c r="AA100" s="141">
        <f t="shared" si="43"/>
        <v>0</v>
      </c>
    </row>
    <row r="101" spans="3:27">
      <c r="C101" s="118">
        <f t="shared" si="31"/>
        <v>242.62000000000006</v>
      </c>
      <c r="D101" s="40" t="s">
        <v>148</v>
      </c>
      <c r="E101" s="56">
        <f>IF(H100="AFIII",VLOOKUP($D101,Sheet1!$A$34:$K$48,5,FALSE),IF(H100="UBIII",VLOOKUP($D101,Sheet1!$A$34:$K$48,8,FALSE),VLOOKUP($D101,Sheet1!$A$34:$K$48,2,FALSE)))</f>
        <v>2.86</v>
      </c>
      <c r="F101" s="56">
        <f>ROUNDDOWN((IF(H100="AFIII",VLOOKUP($D101,Sheet1!$A$34:$K$48,5,FALSE),IF(H100="UBIII",VLOOKUP($D101,Sheet1!$A$34:$K$48,8,FALSE),VLOOKUP($D101,Sheet1!$A$34:$K$48,2,FALSE))))*0.85,2)</f>
        <v>2.4300000000000002</v>
      </c>
      <c r="G101" s="56">
        <f t="shared" si="55"/>
        <v>2.4300000000000002</v>
      </c>
      <c r="H101" s="61" t="s">
        <v>84</v>
      </c>
      <c r="I101" s="56">
        <f t="shared" si="44"/>
        <v>7.57</v>
      </c>
      <c r="K101" s="56">
        <f t="shared" si="29"/>
        <v>20.54</v>
      </c>
      <c r="L101" s="56">
        <f t="shared" si="30"/>
        <v>60.37999999999996</v>
      </c>
      <c r="O101" s="56">
        <f t="shared" si="66"/>
        <v>42.559999999999995</v>
      </c>
      <c r="S101" s="61" t="s">
        <v>51</v>
      </c>
      <c r="T101" s="56">
        <f t="shared" si="64"/>
        <v>3.2399999999999998</v>
      </c>
      <c r="U101" s="71">
        <f t="shared" si="33"/>
        <v>63.239999999999959</v>
      </c>
      <c r="V101" s="130">
        <f>IF(H100="AFIII",VLOOKUP(D101,Sheet1!$A$4:$H$18,5,FALSE),IF(H100="UBIII",VLOOKUP(D101,Sheet1!$A$4:$H$18,8,FALSE),IF(H100="",VLOOKUP(D101,Sheet1!$A$4:$H$18,2,FALSE),"0")))</f>
        <v>1768</v>
      </c>
      <c r="W101" s="130">
        <f t="shared" si="58"/>
        <v>0</v>
      </c>
      <c r="X101" s="48">
        <f t="shared" si="59"/>
        <v>9296</v>
      </c>
      <c r="Y101" s="136" t="str">
        <f t="shared" si="38"/>
        <v>SUCCESS</v>
      </c>
      <c r="Z101" s="136" t="str">
        <f t="shared" si="39"/>
        <v>SUCCESS</v>
      </c>
      <c r="AA101" s="141">
        <f t="shared" si="43"/>
        <v>0</v>
      </c>
    </row>
    <row r="102" spans="3:27">
      <c r="C102" s="118">
        <f t="shared" si="31"/>
        <v>245.05000000000007</v>
      </c>
      <c r="D102" s="40" t="s">
        <v>148</v>
      </c>
      <c r="E102" s="56">
        <f>IF(H101="AFIII",VLOOKUP($D102,Sheet1!$A$34:$K$48,5,FALSE),IF(H101="UBIII",VLOOKUP($D102,Sheet1!$A$34:$K$48,8,FALSE),VLOOKUP($D102,Sheet1!$A$34:$K$48,2,FALSE)))</f>
        <v>2.86</v>
      </c>
      <c r="F102" s="56">
        <f>ROUNDDOWN((IF(H101="AFIII",VLOOKUP($D102,Sheet1!$A$34:$K$48,5,FALSE),IF(H101="UBIII",VLOOKUP($D102,Sheet1!$A$34:$K$48,8,FALSE),VLOOKUP($D102,Sheet1!$A$34:$K$48,2,FALSE))))*0.85,2)</f>
        <v>2.4300000000000002</v>
      </c>
      <c r="G102" s="56">
        <f t="shared" si="55"/>
        <v>2.4300000000000002</v>
      </c>
      <c r="H102" s="61" t="s">
        <v>84</v>
      </c>
      <c r="I102" s="56">
        <f t="shared" si="44"/>
        <v>5.1400000000000006</v>
      </c>
      <c r="K102" s="56">
        <f t="shared" si="29"/>
        <v>18.11</v>
      </c>
      <c r="L102" s="56">
        <f t="shared" si="30"/>
        <v>57.94999999999996</v>
      </c>
      <c r="O102" s="56">
        <f t="shared" si="66"/>
        <v>40.129999999999995</v>
      </c>
      <c r="S102" s="61" t="s">
        <v>51</v>
      </c>
      <c r="T102" s="56">
        <f t="shared" si="64"/>
        <v>0.80999999999999961</v>
      </c>
      <c r="U102" s="71">
        <f t="shared" si="33"/>
        <v>60.80999999999996</v>
      </c>
      <c r="V102" s="130">
        <f>IF(H101="AFIII",VLOOKUP(D102,Sheet1!$A$4:$H$18,5,FALSE),IF(H101="UBIII",VLOOKUP(D102,Sheet1!$A$4:$H$18,8,FALSE),IF(H101="",VLOOKUP(D102,Sheet1!$A$4:$H$18,2,FALSE),"0")))</f>
        <v>1768</v>
      </c>
      <c r="W102" s="130">
        <f t="shared" si="58"/>
        <v>0</v>
      </c>
      <c r="X102" s="48">
        <f t="shared" si="59"/>
        <v>7528</v>
      </c>
      <c r="Y102" s="136" t="str">
        <f t="shared" si="38"/>
        <v>SUCCESS</v>
      </c>
      <c r="Z102" s="136" t="str">
        <f t="shared" si="39"/>
        <v>SUCCESS</v>
      </c>
      <c r="AA102" s="141">
        <f t="shared" si="43"/>
        <v>0</v>
      </c>
    </row>
    <row r="103" spans="3:27">
      <c r="C103" s="118">
        <f t="shared" si="31"/>
        <v>247.08000000000007</v>
      </c>
      <c r="D103" s="40" t="s">
        <v>149</v>
      </c>
      <c r="E103" s="56">
        <f>IF(H102="AFIII",VLOOKUP($D103,Sheet1!$A$34:$K$48,5,FALSE),IF(H102="UBIII",VLOOKUP($D103,Sheet1!$A$34:$K$48,8,FALSE),VLOOKUP($D103,Sheet1!$A$34:$K$48,2,FALSE)))</f>
        <v>2.39</v>
      </c>
      <c r="F103" s="56">
        <f>ROUNDDOWN((IF(H102="AFIII",VLOOKUP($D103,Sheet1!$A$34:$K$48,5,FALSE),IF(H102="UBIII",VLOOKUP($D103,Sheet1!$A$34:$K$48,8,FALSE),VLOOKUP($D103,Sheet1!$A$34:$K$48,2,FALSE))))*0.85,2)</f>
        <v>2.0299999999999998</v>
      </c>
      <c r="G103" s="56">
        <f t="shared" si="55"/>
        <v>2.0299999999999998</v>
      </c>
      <c r="H103" s="61" t="s">
        <v>84</v>
      </c>
      <c r="I103" s="56">
        <v>10</v>
      </c>
      <c r="K103" s="56">
        <f t="shared" si="29"/>
        <v>16.079999999999998</v>
      </c>
      <c r="L103" s="56">
        <f t="shared" si="30"/>
        <v>55.919999999999959</v>
      </c>
      <c r="O103" s="56">
        <f t="shared" si="66"/>
        <v>38.099999999999994</v>
      </c>
      <c r="T103" s="56">
        <f t="shared" si="64"/>
        <v>-1.2200000000000002</v>
      </c>
      <c r="U103" s="71">
        <f t="shared" si="33"/>
        <v>58.779999999999959</v>
      </c>
      <c r="V103" s="130">
        <f>IF(H102="AFIII",VLOOKUP(D103,Sheet1!$A$4:$H$18,5,FALSE),IF(H102="UBIII",VLOOKUP(D103,Sheet1!$A$4:$H$18,8,FALSE),IF(H102="",VLOOKUP(D103,Sheet1!$A$4:$H$18,2,FALSE),"0")))</f>
        <v>2120</v>
      </c>
      <c r="W103" s="130">
        <f t="shared" si="58"/>
        <v>0</v>
      </c>
      <c r="X103" s="48">
        <f t="shared" si="59"/>
        <v>5408</v>
      </c>
      <c r="Y103" s="136" t="str">
        <f t="shared" si="38"/>
        <v>SUCCESS</v>
      </c>
      <c r="Z103" s="136" t="str">
        <f t="shared" si="39"/>
        <v>SUCCESS</v>
      </c>
      <c r="AA103" s="141">
        <f t="shared" si="43"/>
        <v>0</v>
      </c>
    </row>
    <row r="104" spans="3:27">
      <c r="C104" s="118">
        <f t="shared" si="31"/>
        <v>249.94000000000008</v>
      </c>
      <c r="D104" s="40" t="s">
        <v>148</v>
      </c>
      <c r="E104" s="56">
        <f>IF(H103="AFIII",VLOOKUP($D104,Sheet1!$A$34:$K$48,5,FALSE),IF(H103="UBIII",VLOOKUP($D104,Sheet1!$A$34:$K$48,8,FALSE),VLOOKUP($D104,Sheet1!$A$34:$K$48,2,FALSE)))</f>
        <v>2.86</v>
      </c>
      <c r="F104" s="56">
        <f>ROUNDDOWN((IF(H103="AFIII",VLOOKUP($D104,Sheet1!$A$34:$K$48,5,FALSE),IF(H103="UBIII",VLOOKUP($D104,Sheet1!$A$34:$K$48,8,FALSE),VLOOKUP($D104,Sheet1!$A$34:$K$48,2,FALSE))))*0.85,2)</f>
        <v>2.4300000000000002</v>
      </c>
      <c r="G104" s="56">
        <f t="shared" si="55"/>
        <v>2.86</v>
      </c>
      <c r="H104" s="61" t="s">
        <v>84</v>
      </c>
      <c r="I104" s="56">
        <f t="shared" si="44"/>
        <v>7.1400000000000006</v>
      </c>
      <c r="K104" s="56">
        <f t="shared" si="29"/>
        <v>13.219999999999999</v>
      </c>
      <c r="L104" s="56">
        <f t="shared" si="30"/>
        <v>53.05999999999996</v>
      </c>
      <c r="O104" s="56">
        <f t="shared" si="66"/>
        <v>35.239999999999995</v>
      </c>
      <c r="U104" s="71">
        <f t="shared" si="33"/>
        <v>55.919999999999959</v>
      </c>
      <c r="V104" s="130">
        <f>IF(H103="AFIII",VLOOKUP(D104,Sheet1!$A$4:$H$18,5,FALSE),IF(H103="UBIII",VLOOKUP(D104,Sheet1!$A$4:$H$18,8,FALSE),IF(H103="",VLOOKUP(D104,Sheet1!$A$4:$H$18,2,FALSE),"0")))</f>
        <v>1768</v>
      </c>
      <c r="W104" s="130">
        <f t="shared" si="58"/>
        <v>0</v>
      </c>
      <c r="X104" s="48">
        <f t="shared" si="59"/>
        <v>3640</v>
      </c>
      <c r="Y104" s="136" t="str">
        <f t="shared" si="38"/>
        <v>SUCCESS</v>
      </c>
      <c r="Z104" s="136" t="str">
        <f t="shared" si="39"/>
        <v>SUCCESS</v>
      </c>
      <c r="AA104" s="141">
        <f t="shared" si="43"/>
        <v>0</v>
      </c>
    </row>
    <row r="105" spans="3:27">
      <c r="C105" s="118">
        <f t="shared" si="31"/>
        <v>252.8000000000001</v>
      </c>
      <c r="D105" s="40" t="s">
        <v>150</v>
      </c>
      <c r="E105" s="56">
        <f>IF(H104="AFIII",VLOOKUP($D105,Sheet1!$A$34:$K$48,5,FALSE),IF(H104="UBIII",VLOOKUP($D105,Sheet1!$A$34:$K$48,8,FALSE),VLOOKUP($D105,Sheet1!$A$34:$K$48,2,FALSE)))</f>
        <v>2.86</v>
      </c>
      <c r="F105" s="56">
        <f>ROUNDDOWN((IF(H104="AFIII",VLOOKUP($D105,Sheet1!$A$34:$K$48,5,FALSE),IF(H104="UBIII",VLOOKUP($D105,Sheet1!$A$34:$K$48,8,FALSE),VLOOKUP($D105,Sheet1!$A$34:$K$48,2,FALSE))))*0.85,2)</f>
        <v>2.4300000000000002</v>
      </c>
      <c r="G105" s="56">
        <f t="shared" si="55"/>
        <v>2.86</v>
      </c>
      <c r="H105" s="61" t="s">
        <v>84</v>
      </c>
      <c r="I105" s="56">
        <f t="shared" si="44"/>
        <v>4.2800000000000011</v>
      </c>
      <c r="K105" s="56">
        <f t="shared" si="29"/>
        <v>10.36</v>
      </c>
      <c r="L105" s="56">
        <f t="shared" si="30"/>
        <v>50.19999999999996</v>
      </c>
      <c r="O105" s="56">
        <f t="shared" si="66"/>
        <v>32.379999999999995</v>
      </c>
      <c r="U105" s="71">
        <f t="shared" si="33"/>
        <v>53.05999999999996</v>
      </c>
      <c r="V105" s="130">
        <f>IF(H104="AFIII",VLOOKUP(D105,Sheet1!$A$4:$H$18,5,FALSE),IF(H104="UBIII",VLOOKUP(D105,Sheet1!$A$4:$H$18,8,FALSE),IF(H104="",VLOOKUP(D105,Sheet1!$A$4:$H$18,2,FALSE),"0")))</f>
        <v>1768</v>
      </c>
      <c r="W105" s="130">
        <f t="shared" si="58"/>
        <v>0</v>
      </c>
      <c r="X105" s="48">
        <f t="shared" si="59"/>
        <v>1872</v>
      </c>
      <c r="Y105" s="136" t="str">
        <f t="shared" si="38"/>
        <v>SUCCESS</v>
      </c>
      <c r="Z105" s="136" t="str">
        <f t="shared" si="39"/>
        <v>SUCCESS</v>
      </c>
      <c r="AA105" s="141">
        <f t="shared" si="43"/>
        <v>0</v>
      </c>
    </row>
    <row r="106" spans="3:27">
      <c r="C106" s="118">
        <f t="shared" si="31"/>
        <v>255.19000000000008</v>
      </c>
      <c r="D106" s="40" t="s">
        <v>151</v>
      </c>
      <c r="E106" s="56">
        <f>IF(H105="AFIII",VLOOKUP($D106,Sheet1!$A$34:$K$48,5,FALSE),IF(H105="UBIII",VLOOKUP($D106,Sheet1!$A$34:$K$48,8,FALSE),VLOOKUP($D106,Sheet1!$A$34:$K$48,2,FALSE)))</f>
        <v>1.67</v>
      </c>
      <c r="F106" s="56">
        <f>ROUNDDOWN((IF(H105="AFIII",VLOOKUP($D106,Sheet1!$A$34:$K$48,5,FALSE),IF(H105="UBIII",VLOOKUP($D106,Sheet1!$A$34:$K$48,8,FALSE),VLOOKUP($D106,Sheet1!$A$34:$K$48,2,FALSE))))*0.85,2)</f>
        <v>1.41</v>
      </c>
      <c r="G106" s="56">
        <f t="shared" si="55"/>
        <v>2.39</v>
      </c>
      <c r="H106" s="61" t="s">
        <v>122</v>
      </c>
      <c r="I106" s="56">
        <v>10</v>
      </c>
      <c r="K106" s="56">
        <f t="shared" si="29"/>
        <v>7.9699999999999989</v>
      </c>
      <c r="L106" s="56">
        <f t="shared" si="30"/>
        <v>47.80999999999996</v>
      </c>
      <c r="O106" s="56">
        <f t="shared" si="66"/>
        <v>29.989999999999995</v>
      </c>
      <c r="U106" s="71">
        <f t="shared" si="33"/>
        <v>50.669999999999959</v>
      </c>
      <c r="V106" s="130">
        <f>IF(H105="AFIII",VLOOKUP(D106,Sheet1!$A$4:$H$18,5,FALSE),IF(H105="UBIII",VLOOKUP(D106,Sheet1!$A$4:$H$18,8,FALSE),IF(H105="",VLOOKUP(D106,Sheet1!$A$4:$H$18,2,FALSE),"0")))</f>
        <v>265</v>
      </c>
      <c r="W106" s="130">
        <f t="shared" si="58"/>
        <v>0</v>
      </c>
      <c r="X106" s="48">
        <f t="shared" si="59"/>
        <v>1607</v>
      </c>
      <c r="Y106" s="136" t="str">
        <f t="shared" si="38"/>
        <v>SUCCESS</v>
      </c>
      <c r="Z106" s="136" t="str">
        <f t="shared" si="39"/>
        <v>SUCCESS</v>
      </c>
      <c r="AA106" s="141">
        <f t="shared" si="43"/>
        <v>0</v>
      </c>
    </row>
    <row r="107" spans="3:27">
      <c r="C107" s="118">
        <f t="shared" si="31"/>
        <v>258.53000000000009</v>
      </c>
      <c r="D107" s="40" t="s">
        <v>152</v>
      </c>
      <c r="E107" s="56">
        <f>IF(H106="AFIII",VLOOKUP($D107,Sheet1!$A$34:$K$48,5,FALSE),IF(H106="UBIII",VLOOKUP($D107,Sheet1!$A$34:$K$48,8,FALSE),VLOOKUP($D107,Sheet1!$A$34:$K$48,2,FALSE)))</f>
        <v>3.34</v>
      </c>
      <c r="F107" s="56">
        <f>ROUNDDOWN((IF(H106="AFIII",VLOOKUP($D107,Sheet1!$A$34:$K$48,5,FALSE),IF(H106="UBIII",VLOOKUP($D107,Sheet1!$A$34:$K$48,8,FALSE),VLOOKUP($D107,Sheet1!$A$34:$K$48,2,FALSE))))*0.85,2)</f>
        <v>2.83</v>
      </c>
      <c r="G107" s="56">
        <f t="shared" si="55"/>
        <v>3.34</v>
      </c>
      <c r="H107" s="61" t="s">
        <v>122</v>
      </c>
      <c r="I107" s="56">
        <f t="shared" si="44"/>
        <v>6.66</v>
      </c>
      <c r="K107" s="56">
        <f t="shared" si="29"/>
        <v>4.629999999999999</v>
      </c>
      <c r="L107" s="56">
        <f t="shared" si="30"/>
        <v>44.469999999999956</v>
      </c>
      <c r="O107" s="56">
        <f t="shared" si="66"/>
        <v>26.649999999999995</v>
      </c>
      <c r="U107" s="71">
        <f t="shared" si="33"/>
        <v>47.329999999999956</v>
      </c>
      <c r="V107" s="130">
        <f>IF(H106="AFIII",VLOOKUP(D107,Sheet1!$A$4:$H$18,5,FALSE),IF(H106="UBIII",VLOOKUP(D107,Sheet1!$A$4:$H$18,8,FALSE),IF(H106="",VLOOKUP(D107,Sheet1!$A$4:$H$18,2,FALSE),"0")))</f>
        <v>1414</v>
      </c>
      <c r="W107" s="130">
        <f t="shared" si="58"/>
        <v>7033</v>
      </c>
      <c r="X107" s="48">
        <f t="shared" si="59"/>
        <v>7226</v>
      </c>
      <c r="Y107" s="136" t="str">
        <f t="shared" si="38"/>
        <v>SUCCESS</v>
      </c>
      <c r="Z107" s="136" t="str">
        <f t="shared" si="39"/>
        <v>SUCCESS</v>
      </c>
      <c r="AA107" s="141">
        <f t="shared" si="43"/>
        <v>0</v>
      </c>
    </row>
    <row r="108" spans="3:27">
      <c r="C108" s="118">
        <f t="shared" si="31"/>
        <v>261.3900000000001</v>
      </c>
      <c r="D108" s="40" t="s">
        <v>153</v>
      </c>
      <c r="E108" s="56">
        <f>IF(H107="AFIII",VLOOKUP($D108,Sheet1!$A$34:$K$48,5,FALSE),IF(H107="UBIII",VLOOKUP($D108,Sheet1!$A$34:$K$48,8,FALSE),VLOOKUP($D108,Sheet1!$A$34:$K$48,2,FALSE)))</f>
        <v>2.86</v>
      </c>
      <c r="F108" s="56">
        <f>ROUNDDOWN((IF(H107="AFIII",VLOOKUP($D108,Sheet1!$A$34:$K$48,5,FALSE),IF(H107="UBIII",VLOOKUP($D108,Sheet1!$A$34:$K$48,8,FALSE),VLOOKUP($D108,Sheet1!$A$34:$K$48,2,FALSE))))*0.85,2)</f>
        <v>2.4300000000000002</v>
      </c>
      <c r="G108" s="56">
        <f t="shared" si="55"/>
        <v>2.86</v>
      </c>
      <c r="H108" s="61" t="s">
        <v>122</v>
      </c>
      <c r="I108" s="56">
        <f t="shared" si="44"/>
        <v>3.8000000000000003</v>
      </c>
      <c r="K108" s="56">
        <v>20</v>
      </c>
      <c r="L108" s="56">
        <f t="shared" si="30"/>
        <v>41.609999999999957</v>
      </c>
      <c r="O108" s="56">
        <f t="shared" si="66"/>
        <v>23.789999999999996</v>
      </c>
      <c r="U108" s="71">
        <f t="shared" si="33"/>
        <v>44.469999999999956</v>
      </c>
      <c r="V108" s="130">
        <f>IF(H107="AFIII",VLOOKUP(D108,Sheet1!$A$4:$H$18,5,FALSE),IF(H107="UBIII",VLOOKUP(D108,Sheet1!$A$4:$H$18,8,FALSE),IF(H107="",VLOOKUP(D108,Sheet1!$A$4:$H$18,2,FALSE),"0")))</f>
        <v>884</v>
      </c>
      <c r="W108" s="130">
        <f t="shared" si="58"/>
        <v>7033</v>
      </c>
      <c r="X108" s="48">
        <f t="shared" si="59"/>
        <v>10622</v>
      </c>
      <c r="Y108" s="136" t="str">
        <f t="shared" si="38"/>
        <v>SUCCESS</v>
      </c>
      <c r="Z108" s="136" t="str">
        <f t="shared" si="39"/>
        <v>SUCCESS</v>
      </c>
      <c r="AA108" s="141">
        <f t="shared" si="43"/>
        <v>0</v>
      </c>
    </row>
    <row r="109" spans="3:27">
      <c r="C109" s="118">
        <f t="shared" si="31"/>
        <v>263.78000000000009</v>
      </c>
      <c r="D109" s="40" t="s">
        <v>147</v>
      </c>
      <c r="E109" s="56">
        <f>IF(H108="AFIII",VLOOKUP($D109,Sheet1!$A$34:$K$48,5,FALSE),IF(H108="UBIII",VLOOKUP($D109,Sheet1!$A$34:$K$48,8,FALSE),VLOOKUP($D109,Sheet1!$A$34:$K$48,2,FALSE)))</f>
        <v>1.67</v>
      </c>
      <c r="F109" s="56">
        <f>ROUNDDOWN((IF(H108="AFIII",VLOOKUP($D109,Sheet1!$A$34:$K$48,5,FALSE),IF(H108="UBIII",VLOOKUP($D109,Sheet1!$A$34:$K$48,8,FALSE),VLOOKUP($D109,Sheet1!$A$34:$K$48,2,FALSE))))*0.85,2)</f>
        <v>1.41</v>
      </c>
      <c r="G109" s="56">
        <f t="shared" si="55"/>
        <v>2.39</v>
      </c>
      <c r="H109" s="61" t="s">
        <v>84</v>
      </c>
      <c r="I109" s="56">
        <v>10</v>
      </c>
      <c r="K109" s="56">
        <f t="shared" si="29"/>
        <v>17.61</v>
      </c>
      <c r="L109" s="56">
        <f t="shared" si="30"/>
        <v>39.219999999999956</v>
      </c>
      <c r="O109" s="56">
        <f t="shared" si="66"/>
        <v>21.399999999999995</v>
      </c>
      <c r="U109" s="71">
        <f t="shared" si="33"/>
        <v>42.079999999999956</v>
      </c>
      <c r="V109" s="130">
        <f>IF(H108="AFIII",VLOOKUP(D109,Sheet1!$A$4:$H$18,5,FALSE),IF(H108="UBIII",VLOOKUP(D109,Sheet1!$A$4:$H$18,8,FALSE),IF(H108="",VLOOKUP(D109,Sheet1!$A$4:$H$18,2,FALSE),"0")))</f>
        <v>442</v>
      </c>
      <c r="W109" s="130">
        <f t="shared" si="58"/>
        <v>7033</v>
      </c>
      <c r="X109" s="48">
        <f t="shared" si="59"/>
        <v>11064</v>
      </c>
      <c r="Y109" s="136" t="str">
        <f t="shared" si="38"/>
        <v>SUCCESS</v>
      </c>
      <c r="Z109" s="136" t="str">
        <f t="shared" si="39"/>
        <v>SUCCESS</v>
      </c>
      <c r="AA109" s="141">
        <f t="shared" si="43"/>
        <v>0</v>
      </c>
    </row>
    <row r="110" spans="3:27">
      <c r="C110" s="118">
        <f t="shared" si="31"/>
        <v>266.6400000000001</v>
      </c>
      <c r="D110" s="40" t="s">
        <v>148</v>
      </c>
      <c r="E110" s="56">
        <f>IF(H109="AFIII",VLOOKUP($D110,Sheet1!$A$34:$K$48,5,FALSE),IF(H109="UBIII",VLOOKUP($D110,Sheet1!$A$34:$K$48,8,FALSE),VLOOKUP($D110,Sheet1!$A$34:$K$48,2,FALSE)))</f>
        <v>2.86</v>
      </c>
      <c r="F110" s="56">
        <f>ROUNDDOWN((IF(H109="AFIII",VLOOKUP($D110,Sheet1!$A$34:$K$48,5,FALSE),IF(H109="UBIII",VLOOKUP($D110,Sheet1!$A$34:$K$48,8,FALSE),VLOOKUP($D110,Sheet1!$A$34:$K$48,2,FALSE))))*0.85,2)</f>
        <v>2.4300000000000002</v>
      </c>
      <c r="G110" s="56">
        <f t="shared" si="55"/>
        <v>2.86</v>
      </c>
      <c r="H110" s="61" t="s">
        <v>84</v>
      </c>
      <c r="I110" s="56">
        <f t="shared" si="44"/>
        <v>7.1400000000000006</v>
      </c>
      <c r="K110" s="56">
        <f t="shared" si="29"/>
        <v>14.75</v>
      </c>
      <c r="L110" s="56">
        <f t="shared" si="30"/>
        <v>36.359999999999957</v>
      </c>
      <c r="O110" s="56">
        <f t="shared" si="66"/>
        <v>18.539999999999996</v>
      </c>
      <c r="U110" s="71">
        <f t="shared" si="33"/>
        <v>39.219999999999956</v>
      </c>
      <c r="V110" s="130">
        <f>IF(H109="AFIII",VLOOKUP(D110,Sheet1!$A$4:$H$18,5,FALSE),IF(H109="UBIII",VLOOKUP(D110,Sheet1!$A$4:$H$18,8,FALSE),IF(H109="",VLOOKUP(D110,Sheet1!$A$4:$H$18,2,FALSE),"0")))</f>
        <v>1768</v>
      </c>
      <c r="W110" s="130">
        <f t="shared" si="58"/>
        <v>0</v>
      </c>
      <c r="X110" s="48">
        <f t="shared" si="59"/>
        <v>9296</v>
      </c>
      <c r="Y110" s="136" t="str">
        <f t="shared" si="38"/>
        <v>SUCCESS</v>
      </c>
      <c r="Z110" s="136" t="str">
        <f t="shared" si="39"/>
        <v>SUCCESS</v>
      </c>
      <c r="AA110" s="141">
        <f t="shared" si="43"/>
        <v>0</v>
      </c>
    </row>
    <row r="111" spans="3:27">
      <c r="C111" s="118">
        <f t="shared" si="31"/>
        <v>269.50000000000011</v>
      </c>
      <c r="D111" s="40" t="s">
        <v>148</v>
      </c>
      <c r="E111" s="56">
        <f>IF(H110="AFIII",VLOOKUP($D111,Sheet1!$A$34:$K$48,5,FALSE),IF(H110="UBIII",VLOOKUP($D111,Sheet1!$A$34:$K$48,8,FALSE),VLOOKUP($D111,Sheet1!$A$34:$K$48,2,FALSE)))</f>
        <v>2.86</v>
      </c>
      <c r="F111" s="56">
        <f>ROUNDDOWN((IF(H110="AFIII",VLOOKUP($D111,Sheet1!$A$34:$K$48,5,FALSE),IF(H110="UBIII",VLOOKUP($D111,Sheet1!$A$34:$K$48,8,FALSE),VLOOKUP($D111,Sheet1!$A$34:$K$48,2,FALSE))))*0.85,2)</f>
        <v>2.4300000000000002</v>
      </c>
      <c r="G111" s="56">
        <f t="shared" si="55"/>
        <v>2.86</v>
      </c>
      <c r="H111" s="61" t="s">
        <v>84</v>
      </c>
      <c r="I111" s="56">
        <f t="shared" si="44"/>
        <v>4.2800000000000011</v>
      </c>
      <c r="K111" s="56">
        <f t="shared" si="29"/>
        <v>11.89</v>
      </c>
      <c r="L111" s="56">
        <f t="shared" si="30"/>
        <v>33.499999999999957</v>
      </c>
      <c r="O111" s="56">
        <f t="shared" si="66"/>
        <v>15.679999999999996</v>
      </c>
      <c r="U111" s="71">
        <f t="shared" si="33"/>
        <v>36.359999999999957</v>
      </c>
      <c r="V111" s="130">
        <f>IF(H110="AFIII",VLOOKUP(D111,Sheet1!$A$4:$H$18,5,FALSE),IF(H110="UBIII",VLOOKUP(D111,Sheet1!$A$4:$H$18,8,FALSE),IF(H110="",VLOOKUP(D111,Sheet1!$A$4:$H$18,2,FALSE),"0")))</f>
        <v>1768</v>
      </c>
      <c r="W111" s="130">
        <f t="shared" si="58"/>
        <v>0</v>
      </c>
      <c r="X111" s="48">
        <f t="shared" si="59"/>
        <v>7528</v>
      </c>
      <c r="Y111" s="136" t="str">
        <f t="shared" si="38"/>
        <v>SUCCESS</v>
      </c>
      <c r="Z111" s="136" t="str">
        <f t="shared" si="39"/>
        <v>SUCCESS</v>
      </c>
      <c r="AA111" s="141">
        <f t="shared" si="43"/>
        <v>0</v>
      </c>
    </row>
    <row r="112" spans="3:27">
      <c r="C112" s="118">
        <f t="shared" ref="C112:C122" si="67">C111+G112</f>
        <v>271.8900000000001</v>
      </c>
      <c r="D112" s="40" t="s">
        <v>149</v>
      </c>
      <c r="E112" s="56">
        <f>IF(H111="AFIII",VLOOKUP($D112,Sheet1!$A$34:$K$48,5,FALSE),IF(H111="UBIII",VLOOKUP($D112,Sheet1!$A$34:$K$48,8,FALSE),VLOOKUP($D112,Sheet1!$A$34:$K$48,2,FALSE)))</f>
        <v>2.39</v>
      </c>
      <c r="F112" s="56">
        <f>ROUNDDOWN((IF(H111="AFIII",VLOOKUP($D112,Sheet1!$A$34:$K$48,5,FALSE),IF(H111="UBIII",VLOOKUP($D112,Sheet1!$A$34:$K$48,8,FALSE),VLOOKUP($D112,Sheet1!$A$34:$K$48,2,FALSE))))*0.85,2)</f>
        <v>2.0299999999999998</v>
      </c>
      <c r="G112" s="56">
        <f t="shared" ref="G112:G122" si="68">IF(M111="迅速",IF(S111="黒魔紋",$F$1,$E$1),IF(S111="黒魔紋",IF(F112&lt;$F$1,$F$1,F112),IF(E112&lt;$E$1,$E$1,E112)))</f>
        <v>2.39</v>
      </c>
      <c r="H112" s="61" t="s">
        <v>84</v>
      </c>
      <c r="I112" s="56">
        <v>10</v>
      </c>
      <c r="K112" s="56">
        <f t="shared" ref="K112:K122" si="69">K111-G112</f>
        <v>9.5</v>
      </c>
      <c r="L112" s="56">
        <f t="shared" ref="L112:L122" si="70">L111-G112</f>
        <v>31.109999999999957</v>
      </c>
      <c r="O112" s="56">
        <f t="shared" si="66"/>
        <v>13.289999999999996</v>
      </c>
      <c r="U112" s="71">
        <f t="shared" ref="U112:U122" si="71">U111-G112</f>
        <v>33.969999999999956</v>
      </c>
      <c r="V112" s="130">
        <f>IF(H111="AFIII",VLOOKUP(D112,Sheet1!$A$4:$H$18,5,FALSE),IF(H111="UBIII",VLOOKUP(D112,Sheet1!$A$4:$H$18,8,FALSE),IF(H111="",VLOOKUP(D112,Sheet1!$A$4:$H$18,2,FALSE),"0")))</f>
        <v>2120</v>
      </c>
      <c r="W112" s="130">
        <f t="shared" ref="W112:W122" si="72">IF(H111="UBIII",$X$2,0)</f>
        <v>0</v>
      </c>
      <c r="X112" s="48">
        <f t="shared" ref="X112:X122" si="73">IF(D112="フレア",IF(M112="コンバート",$X$1,0),IF(X111-V112+W112&gt;$X$3,$X$3-V112,X111-V112+W112))</f>
        <v>5408</v>
      </c>
      <c r="Y112" s="136" t="str">
        <f t="shared" ref="Y112:Y122" si="74">IF(X111-V112&lt;0,"ERROR","SUCCESS")</f>
        <v>SUCCESS</v>
      </c>
      <c r="Z112" s="136" t="str">
        <f t="shared" ref="Z112:Z122" si="75">IF(K111-G112&lt;0,"ERROR","SUCCESS")</f>
        <v>SUCCESS</v>
      </c>
      <c r="AA112" s="141">
        <f t="shared" si="43"/>
        <v>0</v>
      </c>
    </row>
    <row r="113" spans="3:27">
      <c r="C113" s="118">
        <f t="shared" si="67"/>
        <v>274.75000000000011</v>
      </c>
      <c r="D113" s="40" t="s">
        <v>148</v>
      </c>
      <c r="E113" s="56">
        <f>IF(H112="AFIII",VLOOKUP($D113,Sheet1!$A$34:$K$48,5,FALSE),IF(H112="UBIII",VLOOKUP($D113,Sheet1!$A$34:$K$48,8,FALSE),VLOOKUP($D113,Sheet1!$A$34:$K$48,2,FALSE)))</f>
        <v>2.86</v>
      </c>
      <c r="F113" s="56">
        <f>ROUNDDOWN((IF(H112="AFIII",VLOOKUP($D113,Sheet1!$A$34:$K$48,5,FALSE),IF(H112="UBIII",VLOOKUP($D113,Sheet1!$A$34:$K$48,8,FALSE),VLOOKUP($D113,Sheet1!$A$34:$K$48,2,FALSE))))*0.85,2)</f>
        <v>2.4300000000000002</v>
      </c>
      <c r="G113" s="56">
        <f t="shared" si="68"/>
        <v>2.86</v>
      </c>
      <c r="H113" s="61" t="s">
        <v>84</v>
      </c>
      <c r="I113" s="56">
        <f t="shared" ref="I113:I122" si="76">I112-G113</f>
        <v>7.1400000000000006</v>
      </c>
      <c r="K113" s="56">
        <f t="shared" si="69"/>
        <v>6.6400000000000006</v>
      </c>
      <c r="L113" s="56">
        <f t="shared" si="70"/>
        <v>28.249999999999957</v>
      </c>
      <c r="O113" s="56">
        <f t="shared" si="66"/>
        <v>10.429999999999996</v>
      </c>
      <c r="U113" s="71">
        <f t="shared" si="71"/>
        <v>31.109999999999957</v>
      </c>
      <c r="V113" s="130">
        <f>IF(H112="AFIII",VLOOKUP(D113,Sheet1!$A$4:$H$18,5,FALSE),IF(H112="UBIII",VLOOKUP(D113,Sheet1!$A$4:$H$18,8,FALSE),IF(H112="",VLOOKUP(D113,Sheet1!$A$4:$H$18,2,FALSE),"0")))</f>
        <v>1768</v>
      </c>
      <c r="W113" s="130">
        <f t="shared" si="72"/>
        <v>0</v>
      </c>
      <c r="X113" s="48">
        <f t="shared" si="73"/>
        <v>3640</v>
      </c>
      <c r="Y113" s="136" t="str">
        <f t="shared" si="74"/>
        <v>SUCCESS</v>
      </c>
      <c r="Z113" s="136" t="str">
        <f t="shared" si="75"/>
        <v>SUCCESS</v>
      </c>
      <c r="AA113" s="141">
        <f t="shared" si="43"/>
        <v>0</v>
      </c>
    </row>
    <row r="114" spans="3:27">
      <c r="C114" s="118">
        <f t="shared" si="67"/>
        <v>277.1400000000001</v>
      </c>
      <c r="D114" s="40" t="s">
        <v>151</v>
      </c>
      <c r="E114" s="56">
        <f>IF(H113="AFIII",VLOOKUP($D114,Sheet1!$A$34:$K$48,5,FALSE),IF(H113="UBIII",VLOOKUP($D114,Sheet1!$A$34:$K$48,8,FALSE),VLOOKUP($D114,Sheet1!$A$34:$K$48,2,FALSE)))</f>
        <v>1.67</v>
      </c>
      <c r="F114" s="56">
        <f>ROUNDDOWN((IF(H113="AFIII",VLOOKUP($D114,Sheet1!$A$34:$K$48,5,FALSE),IF(H113="UBIII",VLOOKUP($D114,Sheet1!$A$34:$K$48,8,FALSE),VLOOKUP($D114,Sheet1!$A$34:$K$48,2,FALSE))))*0.85,2)</f>
        <v>1.41</v>
      </c>
      <c r="G114" s="56">
        <f t="shared" si="68"/>
        <v>2.39</v>
      </c>
      <c r="H114" s="61" t="s">
        <v>122</v>
      </c>
      <c r="I114" s="56">
        <v>10</v>
      </c>
      <c r="K114" s="56">
        <f t="shared" si="69"/>
        <v>4.25</v>
      </c>
      <c r="L114" s="56">
        <f t="shared" si="70"/>
        <v>25.859999999999957</v>
      </c>
      <c r="O114" s="56">
        <f t="shared" si="66"/>
        <v>8.0399999999999956</v>
      </c>
      <c r="U114" s="71">
        <f t="shared" si="71"/>
        <v>28.719999999999956</v>
      </c>
      <c r="V114" s="130">
        <f>IF(H113="AFIII",VLOOKUP(D114,Sheet1!$A$4:$H$18,5,FALSE),IF(H113="UBIII",VLOOKUP(D114,Sheet1!$A$4:$H$18,8,FALSE),IF(H113="",VLOOKUP(D114,Sheet1!$A$4:$H$18,2,FALSE),"0")))</f>
        <v>265</v>
      </c>
      <c r="W114" s="130">
        <f t="shared" si="72"/>
        <v>0</v>
      </c>
      <c r="X114" s="48">
        <f t="shared" si="73"/>
        <v>3375</v>
      </c>
      <c r="Y114" s="136" t="str">
        <f t="shared" si="74"/>
        <v>SUCCESS</v>
      </c>
      <c r="Z114" s="136" t="str">
        <f t="shared" si="75"/>
        <v>SUCCESS</v>
      </c>
      <c r="AA114" s="141">
        <f t="shared" si="43"/>
        <v>0</v>
      </c>
    </row>
    <row r="115" spans="3:27">
      <c r="C115" s="118">
        <f t="shared" si="67"/>
        <v>280.00000000000011</v>
      </c>
      <c r="D115" s="40" t="s">
        <v>153</v>
      </c>
      <c r="E115" s="56">
        <f>IF(H114="AFIII",VLOOKUP($D115,Sheet1!$A$34:$K$48,5,FALSE),IF(H114="UBIII",VLOOKUP($D115,Sheet1!$A$34:$K$48,8,FALSE),VLOOKUP($D115,Sheet1!$A$34:$K$48,2,FALSE)))</f>
        <v>2.86</v>
      </c>
      <c r="F115" s="56">
        <f>ROUNDDOWN((IF(H114="AFIII",VLOOKUP($D115,Sheet1!$A$34:$K$48,5,FALSE),IF(H114="UBIII",VLOOKUP($D115,Sheet1!$A$34:$K$48,8,FALSE),VLOOKUP($D115,Sheet1!$A$34:$K$48,2,FALSE))))*0.85,2)</f>
        <v>2.4300000000000002</v>
      </c>
      <c r="G115" s="56">
        <f t="shared" si="68"/>
        <v>2.86</v>
      </c>
      <c r="H115" s="61" t="s">
        <v>122</v>
      </c>
      <c r="I115" s="56">
        <f t="shared" si="76"/>
        <v>7.1400000000000006</v>
      </c>
      <c r="K115" s="56">
        <v>15</v>
      </c>
      <c r="L115" s="56">
        <f t="shared" si="70"/>
        <v>22.999999999999957</v>
      </c>
      <c r="O115" s="56">
        <f t="shared" si="66"/>
        <v>5.1799999999999962</v>
      </c>
      <c r="U115" s="71">
        <f t="shared" si="71"/>
        <v>25.859999999999957</v>
      </c>
      <c r="V115" s="130">
        <f>IF(H114="AFIII",VLOOKUP(D115,Sheet1!$A$4:$H$18,5,FALSE),IF(H114="UBIII",VLOOKUP(D115,Sheet1!$A$4:$H$18,8,FALSE),IF(H114="",VLOOKUP(D115,Sheet1!$A$4:$H$18,2,FALSE),"0")))</f>
        <v>884</v>
      </c>
      <c r="W115" s="130">
        <f t="shared" si="72"/>
        <v>7033</v>
      </c>
      <c r="X115" s="48">
        <f t="shared" si="73"/>
        <v>9524</v>
      </c>
      <c r="Y115" s="136" t="str">
        <f t="shared" si="74"/>
        <v>SUCCESS</v>
      </c>
      <c r="Z115" s="136" t="str">
        <f t="shared" si="75"/>
        <v>SUCCESS</v>
      </c>
      <c r="AA115" s="141">
        <f t="shared" si="43"/>
        <v>0</v>
      </c>
    </row>
    <row r="116" spans="3:27">
      <c r="C116" s="118">
        <f t="shared" si="67"/>
        <v>282.3900000000001</v>
      </c>
      <c r="D116" s="40" t="s">
        <v>147</v>
      </c>
      <c r="E116" s="56">
        <f>IF(H115="AFIII",VLOOKUP($D116,Sheet1!$A$34:$K$48,5,FALSE),IF(H115="UBIII",VLOOKUP($D116,Sheet1!$A$34:$K$48,8,FALSE),VLOOKUP($D116,Sheet1!$A$34:$K$48,2,FALSE)))</f>
        <v>1.67</v>
      </c>
      <c r="F116" s="56">
        <f>ROUNDDOWN((IF(H115="AFIII",VLOOKUP($D116,Sheet1!$A$34:$K$48,5,FALSE),IF(H115="UBIII",VLOOKUP($D116,Sheet1!$A$34:$K$48,8,FALSE),VLOOKUP($D116,Sheet1!$A$34:$K$48,2,FALSE))))*0.85,2)</f>
        <v>1.41</v>
      </c>
      <c r="G116" s="56">
        <f t="shared" si="68"/>
        <v>2.39</v>
      </c>
      <c r="H116" s="61" t="s">
        <v>84</v>
      </c>
      <c r="I116" s="56">
        <v>10</v>
      </c>
      <c r="K116" s="56">
        <f t="shared" si="69"/>
        <v>12.61</v>
      </c>
      <c r="L116" s="56">
        <f t="shared" si="70"/>
        <v>20.609999999999957</v>
      </c>
      <c r="M116" s="61" t="s">
        <v>154</v>
      </c>
      <c r="O116" s="56">
        <f t="shared" si="66"/>
        <v>2.789999999999996</v>
      </c>
      <c r="U116" s="71">
        <f t="shared" si="71"/>
        <v>23.469999999999956</v>
      </c>
      <c r="V116" s="130">
        <f>IF(H115="AFIII",VLOOKUP(D116,Sheet1!$A$4:$H$18,5,FALSE),IF(H115="UBIII",VLOOKUP(D116,Sheet1!$A$4:$H$18,8,FALSE),IF(H115="",VLOOKUP(D116,Sheet1!$A$4:$H$18,2,FALSE),"0")))</f>
        <v>442</v>
      </c>
      <c r="W116" s="130">
        <f t="shared" si="72"/>
        <v>7033</v>
      </c>
      <c r="X116" s="48">
        <f t="shared" si="73"/>
        <v>11064</v>
      </c>
      <c r="Y116" s="136" t="str">
        <f t="shared" si="74"/>
        <v>SUCCESS</v>
      </c>
      <c r="Z116" s="136" t="str">
        <f t="shared" si="75"/>
        <v>SUCCESS</v>
      </c>
      <c r="AA116" s="141">
        <f t="shared" si="43"/>
        <v>0</v>
      </c>
    </row>
    <row r="117" spans="3:27">
      <c r="C117" s="118">
        <f t="shared" si="67"/>
        <v>285.25000000000011</v>
      </c>
      <c r="D117" s="40" t="s">
        <v>148</v>
      </c>
      <c r="E117" s="56">
        <f>IF(H116="AFIII",VLOOKUP($D117,Sheet1!$A$34:$K$48,5,FALSE),IF(H116="UBIII",VLOOKUP($D117,Sheet1!$A$34:$K$48,8,FALSE),VLOOKUP($D117,Sheet1!$A$34:$K$48,2,FALSE)))</f>
        <v>2.86</v>
      </c>
      <c r="F117" s="56">
        <f>ROUNDDOWN((IF(H116="AFIII",VLOOKUP($D117,Sheet1!$A$34:$K$48,5,FALSE),IF(H116="UBIII",VLOOKUP($D117,Sheet1!$A$34:$K$48,8,FALSE),VLOOKUP($D117,Sheet1!$A$34:$K$48,2,FALSE))))*0.85,2)</f>
        <v>2.4300000000000002</v>
      </c>
      <c r="G117" s="56">
        <f t="shared" si="68"/>
        <v>2.86</v>
      </c>
      <c r="H117" s="61" t="s">
        <v>84</v>
      </c>
      <c r="I117" s="56">
        <f t="shared" si="76"/>
        <v>7.1400000000000006</v>
      </c>
      <c r="K117" s="56">
        <f t="shared" si="69"/>
        <v>9.75</v>
      </c>
      <c r="L117" s="56">
        <f t="shared" si="70"/>
        <v>17.749999999999957</v>
      </c>
      <c r="O117" s="56">
        <f t="shared" si="66"/>
        <v>-7.0000000000003837E-2</v>
      </c>
      <c r="U117" s="71">
        <f t="shared" si="71"/>
        <v>20.609999999999957</v>
      </c>
      <c r="V117" s="130">
        <f>IF(H116="AFIII",VLOOKUP(D117,Sheet1!$A$4:$H$18,5,FALSE),IF(H116="UBIII",VLOOKUP(D117,Sheet1!$A$4:$H$18,8,FALSE),IF(H116="",VLOOKUP(D117,Sheet1!$A$4:$H$18,2,FALSE),"0")))</f>
        <v>1768</v>
      </c>
      <c r="W117" s="130">
        <f t="shared" si="72"/>
        <v>0</v>
      </c>
      <c r="X117" s="48">
        <f t="shared" si="73"/>
        <v>9296</v>
      </c>
      <c r="Y117" s="136" t="str">
        <f t="shared" si="74"/>
        <v>SUCCESS</v>
      </c>
      <c r="Z117" s="136" t="str">
        <f t="shared" si="75"/>
        <v>SUCCESS</v>
      </c>
      <c r="AA117" s="141">
        <f t="shared" si="43"/>
        <v>0</v>
      </c>
    </row>
    <row r="118" spans="3:27">
      <c r="C118" s="118">
        <f t="shared" si="67"/>
        <v>288.11000000000013</v>
      </c>
      <c r="D118" s="40" t="s">
        <v>148</v>
      </c>
      <c r="E118" s="56">
        <f>IF(H117="AFIII",VLOOKUP($D118,Sheet1!$A$34:$K$48,5,FALSE),IF(H117="UBIII",VLOOKUP($D118,Sheet1!$A$34:$K$48,8,FALSE),VLOOKUP($D118,Sheet1!$A$34:$K$48,2,FALSE)))</f>
        <v>2.86</v>
      </c>
      <c r="F118" s="56">
        <f>ROUNDDOWN((IF(H117="AFIII",VLOOKUP($D118,Sheet1!$A$34:$K$48,5,FALSE),IF(H117="UBIII",VLOOKUP($D118,Sheet1!$A$34:$K$48,8,FALSE),VLOOKUP($D118,Sheet1!$A$34:$K$48,2,FALSE))))*0.85,2)</f>
        <v>2.4300000000000002</v>
      </c>
      <c r="G118" s="56">
        <f t="shared" si="68"/>
        <v>2.86</v>
      </c>
      <c r="H118" s="61" t="s">
        <v>84</v>
      </c>
      <c r="I118" s="56">
        <f t="shared" si="76"/>
        <v>4.2800000000000011</v>
      </c>
      <c r="K118" s="56">
        <f t="shared" si="69"/>
        <v>6.8900000000000006</v>
      </c>
      <c r="L118" s="56">
        <f t="shared" si="70"/>
        <v>14.889999999999958</v>
      </c>
      <c r="U118" s="71">
        <f t="shared" si="71"/>
        <v>17.749999999999957</v>
      </c>
      <c r="V118" s="130">
        <f>IF(H117="AFIII",VLOOKUP(D118,Sheet1!$A$4:$H$18,5,FALSE),IF(H117="UBIII",VLOOKUP(D118,Sheet1!$A$4:$H$18,8,FALSE),IF(H117="",VLOOKUP(D118,Sheet1!$A$4:$H$18,2,FALSE),"0")))</f>
        <v>1768</v>
      </c>
      <c r="W118" s="130">
        <f t="shared" si="72"/>
        <v>0</v>
      </c>
      <c r="X118" s="48">
        <f t="shared" si="73"/>
        <v>7528</v>
      </c>
      <c r="Y118" s="136" t="str">
        <f t="shared" si="74"/>
        <v>SUCCESS</v>
      </c>
      <c r="Z118" s="136" t="str">
        <f t="shared" si="75"/>
        <v>SUCCESS</v>
      </c>
      <c r="AA118" s="141">
        <f t="shared" si="43"/>
        <v>0</v>
      </c>
    </row>
    <row r="119" spans="3:27">
      <c r="C119" s="118">
        <f t="shared" si="67"/>
        <v>290.50000000000011</v>
      </c>
      <c r="D119" s="40" t="s">
        <v>149</v>
      </c>
      <c r="E119" s="56">
        <f>IF(H118="AFIII",VLOOKUP($D119,Sheet1!$A$34:$K$48,5,FALSE),IF(H118="UBIII",VLOOKUP($D119,Sheet1!$A$34:$K$48,8,FALSE),VLOOKUP($D119,Sheet1!$A$34:$K$48,2,FALSE)))</f>
        <v>2.39</v>
      </c>
      <c r="F119" s="56">
        <f>ROUNDDOWN((IF(H118="AFIII",VLOOKUP($D119,Sheet1!$A$34:$K$48,5,FALSE),IF(H118="UBIII",VLOOKUP($D119,Sheet1!$A$34:$K$48,8,FALSE),VLOOKUP($D119,Sheet1!$A$34:$K$48,2,FALSE))))*0.85,2)</f>
        <v>2.0299999999999998</v>
      </c>
      <c r="G119" s="56">
        <f t="shared" si="68"/>
        <v>2.39</v>
      </c>
      <c r="H119" s="61" t="s">
        <v>84</v>
      </c>
      <c r="I119" s="56">
        <v>10</v>
      </c>
      <c r="K119" s="56">
        <f t="shared" si="69"/>
        <v>4.5</v>
      </c>
      <c r="L119" s="56">
        <f t="shared" si="70"/>
        <v>12.499999999999957</v>
      </c>
      <c r="U119" s="71">
        <f t="shared" si="71"/>
        <v>15.359999999999957</v>
      </c>
      <c r="V119" s="130">
        <f>IF(H118="AFIII",VLOOKUP(D119,Sheet1!$A$4:$H$18,5,FALSE),IF(H118="UBIII",VLOOKUP(D119,Sheet1!$A$4:$H$18,8,FALSE),IF(H118="",VLOOKUP(D119,Sheet1!$A$4:$H$18,2,FALSE),"0")))</f>
        <v>2120</v>
      </c>
      <c r="W119" s="130">
        <f t="shared" si="72"/>
        <v>0</v>
      </c>
      <c r="X119" s="48">
        <f t="shared" si="73"/>
        <v>5408</v>
      </c>
      <c r="Y119" s="136" t="str">
        <f t="shared" si="74"/>
        <v>SUCCESS</v>
      </c>
      <c r="Z119" s="136" t="str">
        <f t="shared" si="75"/>
        <v>SUCCESS</v>
      </c>
      <c r="AA119" s="141">
        <f t="shared" si="43"/>
        <v>0</v>
      </c>
    </row>
    <row r="120" spans="3:27">
      <c r="C120" s="118">
        <f t="shared" si="67"/>
        <v>293.36000000000013</v>
      </c>
      <c r="D120" s="40" t="s">
        <v>148</v>
      </c>
      <c r="E120" s="56">
        <f>IF(H119="AFIII",VLOOKUP($D120,Sheet1!$A$34:$K$48,5,FALSE),IF(H119="UBIII",VLOOKUP($D120,Sheet1!$A$34:$K$48,8,FALSE),VLOOKUP($D120,Sheet1!$A$34:$K$48,2,FALSE)))</f>
        <v>2.86</v>
      </c>
      <c r="F120" s="56">
        <f>ROUNDDOWN((IF(H119="AFIII",VLOOKUP($D120,Sheet1!$A$34:$K$48,5,FALSE),IF(H119="UBIII",VLOOKUP($D120,Sheet1!$A$34:$K$48,8,FALSE),VLOOKUP($D120,Sheet1!$A$34:$K$48,2,FALSE))))*0.85,2)</f>
        <v>2.4300000000000002</v>
      </c>
      <c r="G120" s="56">
        <f t="shared" si="68"/>
        <v>2.86</v>
      </c>
      <c r="H120" s="61" t="s">
        <v>84</v>
      </c>
      <c r="I120" s="56">
        <f t="shared" si="76"/>
        <v>7.1400000000000006</v>
      </c>
      <c r="K120" s="56">
        <f t="shared" si="69"/>
        <v>1.6400000000000001</v>
      </c>
      <c r="L120" s="56">
        <f t="shared" si="70"/>
        <v>9.6399999999999579</v>
      </c>
      <c r="M120" s="61" t="s">
        <v>155</v>
      </c>
      <c r="U120" s="71">
        <f t="shared" si="71"/>
        <v>12.499999999999957</v>
      </c>
      <c r="V120" s="130">
        <f>IF(H119="AFIII",VLOOKUP(D120,Sheet1!$A$4:$H$18,5,FALSE),IF(H119="UBIII",VLOOKUP(D120,Sheet1!$A$4:$H$18,8,FALSE),IF(H119="",VLOOKUP(D120,Sheet1!$A$4:$H$18,2,FALSE),"0")))</f>
        <v>1768</v>
      </c>
      <c r="W120" s="130">
        <f t="shared" si="72"/>
        <v>0</v>
      </c>
      <c r="X120" s="48">
        <f t="shared" si="73"/>
        <v>3640</v>
      </c>
      <c r="Y120" s="136" t="str">
        <f t="shared" si="74"/>
        <v>SUCCESS</v>
      </c>
      <c r="Z120" s="136" t="str">
        <f t="shared" si="75"/>
        <v>SUCCESS</v>
      </c>
      <c r="AA120" s="141">
        <f t="shared" si="43"/>
        <v>0</v>
      </c>
    </row>
    <row r="121" spans="3:27">
      <c r="C121" s="118">
        <f t="shared" si="67"/>
        <v>295.75000000000011</v>
      </c>
      <c r="D121" s="40" t="s">
        <v>148</v>
      </c>
      <c r="E121" s="56">
        <f>IF(H120="AFIII",VLOOKUP($D121,Sheet1!$A$34:$K$48,5,FALSE),IF(H120="UBIII",VLOOKUP($D121,Sheet1!$A$34:$K$48,8,FALSE),VLOOKUP($D121,Sheet1!$A$34:$K$48,2,FALSE)))</f>
        <v>2.86</v>
      </c>
      <c r="F121" s="56">
        <f>ROUNDDOWN((IF(H120="AFIII",VLOOKUP($D121,Sheet1!$A$34:$K$48,5,FALSE),IF(H120="UBIII",VLOOKUP($D121,Sheet1!$A$34:$K$48,8,FALSE),VLOOKUP($D121,Sheet1!$A$34:$K$48,2,FALSE))))*0.85,2)</f>
        <v>2.4300000000000002</v>
      </c>
      <c r="G121" s="56">
        <f t="shared" si="68"/>
        <v>2.39</v>
      </c>
      <c r="H121" s="61" t="s">
        <v>84</v>
      </c>
      <c r="I121" s="56">
        <f t="shared" si="76"/>
        <v>4.75</v>
      </c>
      <c r="K121" s="56">
        <f t="shared" si="69"/>
        <v>-0.75</v>
      </c>
      <c r="L121" s="56">
        <f t="shared" si="70"/>
        <v>7.2499999999999574</v>
      </c>
      <c r="U121" s="71">
        <f t="shared" si="71"/>
        <v>10.109999999999957</v>
      </c>
      <c r="V121" s="130">
        <f>IF(H120="AFIII",VLOOKUP(D121,Sheet1!$A$4:$H$18,5,FALSE),IF(H120="UBIII",VLOOKUP(D121,Sheet1!$A$4:$H$18,8,FALSE),IF(H120="",VLOOKUP(D121,Sheet1!$A$4:$H$18,2,FALSE),"0")))</f>
        <v>1768</v>
      </c>
      <c r="W121" s="130">
        <f t="shared" si="72"/>
        <v>0</v>
      </c>
      <c r="X121" s="48">
        <f t="shared" si="73"/>
        <v>1872</v>
      </c>
      <c r="Y121" s="136" t="str">
        <f t="shared" si="74"/>
        <v>SUCCESS</v>
      </c>
      <c r="Z121" s="136" t="str">
        <f t="shared" si="75"/>
        <v>ERROR</v>
      </c>
      <c r="AA121" s="141">
        <f t="shared" si="43"/>
        <v>0</v>
      </c>
    </row>
    <row r="122" spans="3:27">
      <c r="C122" s="118">
        <f t="shared" si="67"/>
        <v>298.1400000000001</v>
      </c>
      <c r="D122" s="40" t="s">
        <v>151</v>
      </c>
      <c r="E122" s="56">
        <f>IF(H121="AFIII",VLOOKUP($D122,Sheet1!$A$34:$K$48,5,FALSE),IF(H121="UBIII",VLOOKUP($D122,Sheet1!$A$34:$K$48,8,FALSE),VLOOKUP($D122,Sheet1!$A$34:$K$48,2,FALSE)))</f>
        <v>1.67</v>
      </c>
      <c r="F122" s="56">
        <f>ROUNDDOWN((IF(H121="AFIII",VLOOKUP($D122,Sheet1!$A$34:$K$48,5,FALSE),IF(H121="UBIII",VLOOKUP($D122,Sheet1!$A$34:$K$48,8,FALSE),VLOOKUP($D122,Sheet1!$A$34:$K$48,2,FALSE))))*0.85,2)</f>
        <v>1.41</v>
      </c>
      <c r="G122" s="56">
        <f t="shared" si="68"/>
        <v>2.39</v>
      </c>
      <c r="H122" s="61" t="s">
        <v>122</v>
      </c>
      <c r="I122" s="56">
        <f t="shared" si="76"/>
        <v>2.36</v>
      </c>
      <c r="K122" s="56">
        <f t="shared" si="69"/>
        <v>-3.14</v>
      </c>
      <c r="L122" s="56">
        <f t="shared" si="70"/>
        <v>4.8599999999999568</v>
      </c>
      <c r="U122" s="71">
        <f t="shared" si="71"/>
        <v>7.7199999999999562</v>
      </c>
      <c r="V122" s="130">
        <f>IF(H121="AFIII",VLOOKUP(D122,Sheet1!$A$4:$H$18,5,FALSE),IF(H121="UBIII",VLOOKUP(D122,Sheet1!$A$4:$H$18,8,FALSE),IF(H121="",VLOOKUP(D122,Sheet1!$A$4:$H$18,2,FALSE),"0")))</f>
        <v>265</v>
      </c>
      <c r="W122" s="130">
        <f t="shared" si="72"/>
        <v>0</v>
      </c>
      <c r="X122" s="48">
        <f t="shared" si="73"/>
        <v>1607</v>
      </c>
      <c r="Y122" s="136" t="str">
        <f t="shared" si="74"/>
        <v>SUCCESS</v>
      </c>
      <c r="Z122" s="136" t="str">
        <f t="shared" si="75"/>
        <v>ERROR</v>
      </c>
      <c r="AA122" s="141">
        <f t="shared" si="43"/>
        <v>0</v>
      </c>
    </row>
    <row r="123" spans="3:27">
      <c r="D123" s="3"/>
      <c r="V123" s="130"/>
      <c r="W123" s="130"/>
      <c r="X123" s="48"/>
    </row>
    <row r="124" spans="3:27">
      <c r="D124" s="3"/>
      <c r="V124" s="130"/>
      <c r="W124" s="130"/>
      <c r="X124" s="48"/>
    </row>
    <row r="125" spans="3:27">
      <c r="D125" s="3"/>
      <c r="V125" s="130"/>
      <c r="W125" s="130"/>
      <c r="X125" s="48"/>
    </row>
    <row r="126" spans="3:27">
      <c r="D126" s="3"/>
      <c r="V126" s="130"/>
      <c r="W126" s="130"/>
      <c r="X126" s="48"/>
    </row>
    <row r="127" spans="3:27">
      <c r="D127" s="3"/>
      <c r="V127" s="130"/>
      <c r="W127" s="130"/>
      <c r="X127" s="48"/>
    </row>
    <row r="128" spans="3:27">
      <c r="D128" s="3"/>
      <c r="V128" s="130"/>
      <c r="W128" s="130"/>
      <c r="X128" s="48"/>
    </row>
    <row r="129" spans="4:24">
      <c r="D129" s="3"/>
      <c r="V129" s="130"/>
      <c r="W129" s="130"/>
      <c r="X129" s="48"/>
    </row>
    <row r="130" spans="4:24">
      <c r="D130" s="3"/>
      <c r="V130" s="130"/>
      <c r="W130" s="130"/>
      <c r="X130" s="48"/>
    </row>
    <row r="131" spans="4:24">
      <c r="D131" s="3"/>
      <c r="V131" s="130"/>
      <c r="W131" s="130"/>
      <c r="X131" s="48"/>
    </row>
    <row r="132" spans="4:24">
      <c r="D132" s="3"/>
      <c r="V132" s="130"/>
      <c r="W132" s="130"/>
      <c r="X132" s="48"/>
    </row>
    <row r="133" spans="4:24">
      <c r="D133" s="3"/>
      <c r="V133" s="130"/>
      <c r="W133" s="130"/>
      <c r="X133" s="48"/>
    </row>
    <row r="134" spans="4:24">
      <c r="D134" s="3"/>
      <c r="V134" s="130"/>
      <c r="W134" s="130"/>
      <c r="X134" s="48"/>
    </row>
    <row r="135" spans="4:24">
      <c r="D135" s="3"/>
      <c r="V135" s="130"/>
      <c r="W135" s="130"/>
      <c r="X135" s="48"/>
    </row>
    <row r="136" spans="4:24">
      <c r="D136" s="3"/>
      <c r="V136" s="130"/>
      <c r="W136" s="130"/>
      <c r="X136" s="48"/>
    </row>
    <row r="137" spans="4:24">
      <c r="D137" s="3"/>
      <c r="V137" s="130"/>
      <c r="W137" s="130"/>
      <c r="X137" s="48"/>
    </row>
    <row r="138" spans="4:24">
      <c r="D138" s="3"/>
      <c r="V138" s="130"/>
      <c r="W138" s="130"/>
      <c r="X138" s="48"/>
    </row>
    <row r="139" spans="4:24">
      <c r="D139" s="3"/>
      <c r="V139" s="130"/>
      <c r="W139" s="130"/>
      <c r="X139" s="48"/>
    </row>
    <row r="140" spans="4:24">
      <c r="D140" s="3"/>
      <c r="V140" s="130"/>
      <c r="W140" s="130"/>
      <c r="X140" s="48"/>
    </row>
    <row r="141" spans="4:24">
      <c r="D141" s="3"/>
      <c r="V141" s="130"/>
      <c r="W141" s="130"/>
      <c r="X141" s="48"/>
    </row>
    <row r="142" spans="4:24">
      <c r="D142" s="3"/>
      <c r="V142" s="130"/>
      <c r="W142" s="130"/>
      <c r="X142" s="48"/>
    </row>
    <row r="143" spans="4:24">
      <c r="D143" s="3"/>
      <c r="V143" s="130"/>
      <c r="W143" s="130"/>
      <c r="X143" s="48"/>
    </row>
    <row r="144" spans="4:24">
      <c r="D144" s="3"/>
      <c r="V144" s="130"/>
      <c r="W144" s="130"/>
      <c r="X144" s="48"/>
    </row>
    <row r="145" spans="4:24">
      <c r="D145" s="3"/>
      <c r="V145" s="130"/>
      <c r="W145" s="130"/>
      <c r="X145" s="48"/>
    </row>
    <row r="146" spans="4:24">
      <c r="D146" s="3"/>
      <c r="V146" s="130"/>
      <c r="W146" s="130"/>
      <c r="X146" s="48"/>
    </row>
    <row r="147" spans="4:24">
      <c r="D147" s="3"/>
      <c r="V147" s="130"/>
      <c r="W147" s="130"/>
      <c r="X147" s="48"/>
    </row>
    <row r="148" spans="4:24">
      <c r="D148" s="3"/>
      <c r="V148" s="130"/>
      <c r="W148" s="130"/>
      <c r="X148" s="48"/>
    </row>
    <row r="149" spans="4:24">
      <c r="D149" s="3"/>
      <c r="V149" s="130"/>
      <c r="W149" s="130"/>
      <c r="X149" s="48"/>
    </row>
    <row r="150" spans="4:24">
      <c r="D150" s="3"/>
    </row>
    <row r="151" spans="4:24">
      <c r="D151" s="3"/>
    </row>
    <row r="152" spans="4:24">
      <c r="D152" s="3"/>
    </row>
    <row r="153" spans="4:24">
      <c r="D153" s="3"/>
    </row>
    <row r="154" spans="4:24">
      <c r="D154" s="3"/>
    </row>
    <row r="155" spans="4:24">
      <c r="D155" s="3"/>
    </row>
    <row r="156" spans="4:24">
      <c r="D156" s="3"/>
    </row>
    <row r="157" spans="4:24">
      <c r="D157" s="3"/>
    </row>
    <row r="158" spans="4:24">
      <c r="D158" s="3"/>
    </row>
    <row r="159" spans="4:24">
      <c r="D159" s="3"/>
    </row>
    <row r="160" spans="4:24">
      <c r="D160" s="3"/>
    </row>
    <row r="161" spans="4:24">
      <c r="D161" s="3"/>
    </row>
    <row r="162" spans="4:24">
      <c r="D162" s="3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135"/>
      <c r="W162" s="135"/>
      <c r="X162" s="3"/>
    </row>
    <row r="163" spans="4:24">
      <c r="D163" s="3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135"/>
      <c r="W163" s="135"/>
      <c r="X163" s="3"/>
    </row>
    <row r="164" spans="4:24">
      <c r="D164" s="3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135"/>
      <c r="W164" s="135"/>
      <c r="X164" s="3"/>
    </row>
    <row r="165" spans="4:24">
      <c r="D165" s="3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135"/>
      <c r="W165" s="135"/>
      <c r="X165" s="3"/>
    </row>
    <row r="166" spans="4:24">
      <c r="D166" s="3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135"/>
      <c r="W166" s="135"/>
      <c r="X166" s="3"/>
    </row>
    <row r="167" spans="4:24">
      <c r="D167" s="3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135"/>
      <c r="W167" s="135"/>
      <c r="X167" s="3"/>
    </row>
    <row r="168" spans="4:24">
      <c r="D168" s="3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135"/>
      <c r="W168" s="135"/>
      <c r="X168" s="3"/>
    </row>
    <row r="169" spans="4:24">
      <c r="D169" s="3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135"/>
      <c r="W169" s="135"/>
      <c r="X169" s="3"/>
    </row>
    <row r="170" spans="4:24">
      <c r="D170" s="3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135"/>
      <c r="W170" s="135"/>
      <c r="X170" s="3"/>
    </row>
    <row r="171" spans="4:24">
      <c r="D171" s="3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135"/>
      <c r="W171" s="135"/>
      <c r="X171" s="3"/>
    </row>
    <row r="172" spans="4:24">
      <c r="D172" s="3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135"/>
      <c r="W172" s="135"/>
      <c r="X172" s="3"/>
    </row>
    <row r="173" spans="4:24">
      <c r="D173" s="3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135"/>
      <c r="W173" s="135"/>
      <c r="X173" s="3"/>
    </row>
    <row r="174" spans="4:24">
      <c r="D174" s="3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135"/>
      <c r="W174" s="135"/>
      <c r="X174" s="3"/>
    </row>
    <row r="175" spans="4:24">
      <c r="D175" s="3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135"/>
      <c r="W175" s="135"/>
      <c r="X175" s="3"/>
    </row>
    <row r="176" spans="4:24">
      <c r="D176" s="3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135"/>
      <c r="W176" s="135"/>
      <c r="X176" s="3"/>
    </row>
    <row r="177" spans="4:24">
      <c r="D177" s="3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135"/>
      <c r="W177" s="135"/>
      <c r="X177" s="3"/>
    </row>
    <row r="178" spans="4:24">
      <c r="D178" s="3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135"/>
      <c r="W178" s="135"/>
      <c r="X178" s="3"/>
    </row>
    <row r="179" spans="4:24">
      <c r="D179" s="3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135"/>
      <c r="W179" s="135"/>
      <c r="X179" s="3"/>
    </row>
    <row r="180" spans="4:24">
      <c r="D180" s="3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135"/>
      <c r="W180" s="135"/>
      <c r="X180" s="3"/>
    </row>
    <row r="181" spans="4:24">
      <c r="D181" s="3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135"/>
      <c r="W181" s="135"/>
      <c r="X181" s="3"/>
    </row>
    <row r="182" spans="4:24">
      <c r="D182" s="3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135"/>
      <c r="W182" s="135"/>
      <c r="X182" s="3"/>
    </row>
    <row r="183" spans="4:24">
      <c r="D183" s="3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135"/>
      <c r="W183" s="135"/>
      <c r="X183" s="3"/>
    </row>
    <row r="184" spans="4:24">
      <c r="D184" s="3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135"/>
      <c r="W184" s="135"/>
      <c r="X184" s="3"/>
    </row>
    <row r="185" spans="4:24">
      <c r="D185" s="3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135"/>
      <c r="W185" s="135"/>
      <c r="X185" s="3"/>
    </row>
    <row r="186" spans="4:24">
      <c r="D186" s="3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135"/>
      <c r="W186" s="135"/>
      <c r="X186" s="3"/>
    </row>
    <row r="187" spans="4:24">
      <c r="D187" s="3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135"/>
      <c r="W187" s="135"/>
      <c r="X187" s="3"/>
    </row>
    <row r="188" spans="4:24">
      <c r="D188" s="3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135"/>
      <c r="W188" s="135"/>
      <c r="X188" s="3"/>
    </row>
    <row r="189" spans="4:24">
      <c r="D189" s="3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135"/>
      <c r="W189" s="135"/>
      <c r="X189" s="3"/>
    </row>
    <row r="190" spans="4:24">
      <c r="D190" s="3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135"/>
      <c r="W190" s="135"/>
      <c r="X190" s="3"/>
    </row>
    <row r="191" spans="4:24">
      <c r="D191" s="3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135"/>
      <c r="W191" s="135"/>
      <c r="X191" s="3"/>
    </row>
    <row r="192" spans="4:24">
      <c r="D192" s="3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135"/>
      <c r="W192" s="135"/>
      <c r="X192" s="3"/>
    </row>
    <row r="193" spans="4:24">
      <c r="D193" s="3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135"/>
      <c r="W193" s="135"/>
      <c r="X193" s="3"/>
    </row>
    <row r="194" spans="4:24">
      <c r="D194" s="3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135"/>
      <c r="W194" s="135"/>
      <c r="X194" s="3"/>
    </row>
    <row r="195" spans="4:24">
      <c r="D195" s="3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135"/>
      <c r="W195" s="135"/>
      <c r="X195" s="3"/>
    </row>
    <row r="196" spans="4:24">
      <c r="D196" s="3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135"/>
      <c r="W196" s="135"/>
      <c r="X196" s="3"/>
    </row>
    <row r="197" spans="4:24">
      <c r="D197" s="3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135"/>
      <c r="W197" s="135"/>
      <c r="X197" s="3"/>
    </row>
    <row r="198" spans="4:24">
      <c r="D198" s="3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135"/>
      <c r="W198" s="135"/>
      <c r="X198" s="3"/>
    </row>
    <row r="199" spans="4:24">
      <c r="D199" s="3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135"/>
      <c r="W199" s="135"/>
      <c r="X199" s="3"/>
    </row>
    <row r="200" spans="4:24">
      <c r="D200" s="3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135"/>
      <c r="W200" s="135"/>
      <c r="X200" s="3"/>
    </row>
    <row r="201" spans="4:24">
      <c r="D201" s="3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135"/>
      <c r="W201" s="135"/>
      <c r="X201" s="3"/>
    </row>
    <row r="202" spans="4:24">
      <c r="D202" s="3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135"/>
      <c r="W202" s="135"/>
      <c r="X202" s="3"/>
    </row>
    <row r="203" spans="4:24">
      <c r="D203" s="3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135"/>
      <c r="W203" s="135"/>
      <c r="X203" s="3"/>
    </row>
    <row r="204" spans="4:24">
      <c r="D204" s="3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135"/>
      <c r="W204" s="135"/>
      <c r="X204" s="3"/>
    </row>
    <row r="205" spans="4:24">
      <c r="D205" s="3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135"/>
      <c r="W205" s="135"/>
      <c r="X205" s="3"/>
    </row>
    <row r="206" spans="4:24">
      <c r="D206" s="3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135"/>
      <c r="W206" s="135"/>
      <c r="X206" s="3"/>
    </row>
    <row r="207" spans="4:24">
      <c r="D207" s="3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135"/>
      <c r="W207" s="135"/>
      <c r="X207" s="3"/>
    </row>
    <row r="208" spans="4:24">
      <c r="D208" s="3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135"/>
      <c r="W208" s="135"/>
      <c r="X208" s="3"/>
    </row>
    <row r="209" spans="4:24">
      <c r="D209" s="3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135"/>
      <c r="W209" s="135"/>
      <c r="X209" s="3"/>
    </row>
    <row r="210" spans="4:24">
      <c r="D210" s="3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135"/>
      <c r="W210" s="135"/>
      <c r="X210" s="3"/>
    </row>
    <row r="211" spans="4:24">
      <c r="D211" s="3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135"/>
      <c r="W211" s="135"/>
      <c r="X211" s="3"/>
    </row>
    <row r="212" spans="4:24">
      <c r="D212" s="3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135"/>
      <c r="W212" s="135"/>
      <c r="X212" s="3"/>
    </row>
    <row r="213" spans="4:24">
      <c r="D213" s="3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135"/>
      <c r="W213" s="135"/>
      <c r="X213" s="3"/>
    </row>
    <row r="214" spans="4:24">
      <c r="D214" s="3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135"/>
      <c r="W214" s="135"/>
      <c r="X214" s="3"/>
    </row>
    <row r="215" spans="4:24">
      <c r="D215" s="3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135"/>
      <c r="W215" s="135"/>
      <c r="X215" s="3"/>
    </row>
    <row r="216" spans="4:24">
      <c r="D216" s="3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135"/>
      <c r="W216" s="135"/>
      <c r="X216" s="3"/>
    </row>
    <row r="217" spans="4:24">
      <c r="D217" s="3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135"/>
      <c r="W217" s="135"/>
      <c r="X217" s="3"/>
    </row>
    <row r="218" spans="4:24">
      <c r="D218" s="3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135"/>
      <c r="W218" s="135"/>
      <c r="X218" s="3"/>
    </row>
    <row r="219" spans="4:24">
      <c r="D219" s="3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135"/>
      <c r="W219" s="135"/>
      <c r="X219" s="3"/>
    </row>
    <row r="220" spans="4:24">
      <c r="D220" s="3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135"/>
      <c r="W220" s="135"/>
      <c r="X220" s="3"/>
    </row>
    <row r="221" spans="4:24">
      <c r="D221" s="3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135"/>
      <c r="W221" s="135"/>
      <c r="X221" s="3"/>
    </row>
    <row r="222" spans="4:24">
      <c r="D222" s="3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135"/>
      <c r="W222" s="135"/>
      <c r="X222" s="3"/>
    </row>
    <row r="223" spans="4:24">
      <c r="D223" s="3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135"/>
      <c r="W223" s="135"/>
      <c r="X223" s="3"/>
    </row>
    <row r="224" spans="4:24">
      <c r="D224" s="3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135"/>
      <c r="W224" s="135"/>
      <c r="X224" s="3"/>
    </row>
    <row r="225" spans="4:24">
      <c r="D225" s="3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135"/>
      <c r="W225" s="135"/>
      <c r="X225" s="3"/>
    </row>
    <row r="226" spans="4:24">
      <c r="D226" s="3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135"/>
      <c r="W226" s="135"/>
      <c r="X226" s="3"/>
    </row>
    <row r="227" spans="4:24">
      <c r="D227" s="3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135"/>
      <c r="W227" s="135"/>
      <c r="X227" s="3"/>
    </row>
    <row r="228" spans="4:24">
      <c r="D228" s="3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135"/>
      <c r="W228" s="135"/>
      <c r="X228" s="3"/>
    </row>
    <row r="229" spans="4:24">
      <c r="D229" s="3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135"/>
      <c r="W229" s="135"/>
      <c r="X229" s="3"/>
    </row>
    <row r="230" spans="4:24">
      <c r="D230" s="3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135"/>
      <c r="W230" s="135"/>
      <c r="X230" s="3"/>
    </row>
    <row r="231" spans="4:24">
      <c r="D231" s="3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135"/>
      <c r="W231" s="135"/>
      <c r="X231" s="3"/>
    </row>
    <row r="232" spans="4:24">
      <c r="D232" s="3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135"/>
      <c r="W232" s="135"/>
      <c r="X232" s="3"/>
    </row>
    <row r="233" spans="4:24">
      <c r="D233" s="3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135"/>
      <c r="W233" s="135"/>
      <c r="X233" s="3"/>
    </row>
    <row r="234" spans="4:24">
      <c r="D234" s="3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135"/>
      <c r="W234" s="135"/>
      <c r="X234" s="3"/>
    </row>
    <row r="235" spans="4:24">
      <c r="D235" s="3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135"/>
      <c r="W235" s="135"/>
      <c r="X235" s="3"/>
    </row>
    <row r="236" spans="4:24">
      <c r="D236" s="3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135"/>
      <c r="W236" s="135"/>
      <c r="X236" s="3"/>
    </row>
    <row r="237" spans="4:24">
      <c r="D237" s="3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135"/>
      <c r="W237" s="135"/>
      <c r="X237" s="3"/>
    </row>
    <row r="238" spans="4:24">
      <c r="D238" s="3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135"/>
      <c r="W238" s="135"/>
      <c r="X238" s="3"/>
    </row>
    <row r="239" spans="4:24">
      <c r="D239" s="3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135"/>
      <c r="W239" s="135"/>
      <c r="X239" s="3"/>
    </row>
  </sheetData>
  <mergeCells count="6">
    <mergeCell ref="Q1:R1"/>
    <mergeCell ref="D2:G2"/>
    <mergeCell ref="H2:U2"/>
    <mergeCell ref="V2:W2"/>
    <mergeCell ref="K1:L1"/>
    <mergeCell ref="N1:O1"/>
  </mergeCells>
  <phoneticPr fontId="1"/>
  <conditionalFormatting sqref="P1 K2:P26 D1:G97 H1:J26 X3:X97 S1:W97 H27:P97 Q2:R97 D79:X99 X99:X149 D99:W1048576">
    <cfRule type="expression" dxfId="22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9"/>
  <sheetViews>
    <sheetView topLeftCell="A64" workbookViewId="0">
      <selection activeCell="D88" sqref="D88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254</v>
      </c>
      <c r="I1" s="111" t="s">
        <v>115</v>
      </c>
      <c r="J1" s="101">
        <f>3</f>
        <v>3</v>
      </c>
      <c r="K1" s="307" t="s">
        <v>144</v>
      </c>
      <c r="L1" s="307"/>
      <c r="M1" s="101">
        <v>5</v>
      </c>
      <c r="N1" s="307" t="s">
        <v>145</v>
      </c>
      <c r="O1" s="307"/>
      <c r="P1" s="102">
        <f>H1+J1+M1</f>
        <v>262</v>
      </c>
      <c r="Q1" s="307" t="s">
        <v>116</v>
      </c>
      <c r="R1" s="307"/>
      <c r="S1" s="101">
        <v>12.5</v>
      </c>
      <c r="T1" s="111" t="s">
        <v>117</v>
      </c>
      <c r="U1" s="104">
        <f>Sheet1!B27</f>
        <v>884</v>
      </c>
      <c r="V1" s="217" t="s">
        <v>118</v>
      </c>
      <c r="W1" s="202">
        <v>242</v>
      </c>
      <c r="X1" s="203">
        <f>ROUNDDOWN(X3*0.3,0)</f>
        <v>3451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172" t="s">
        <v>107</v>
      </c>
      <c r="E3" s="173" t="s">
        <v>108</v>
      </c>
      <c r="F3" s="173" t="s">
        <v>120</v>
      </c>
      <c r="G3" s="173" t="s">
        <v>215</v>
      </c>
      <c r="H3" s="174" t="s">
        <v>107</v>
      </c>
      <c r="I3" s="173" t="s">
        <v>108</v>
      </c>
      <c r="J3" s="174" t="s">
        <v>107</v>
      </c>
      <c r="K3" s="173" t="s">
        <v>108</v>
      </c>
      <c r="L3" s="173" t="s">
        <v>119</v>
      </c>
      <c r="M3" s="174" t="s">
        <v>107</v>
      </c>
      <c r="N3" s="173" t="s">
        <v>108</v>
      </c>
      <c r="O3" s="173" t="s">
        <v>119</v>
      </c>
      <c r="P3" s="174" t="s">
        <v>107</v>
      </c>
      <c r="Q3" s="173" t="s">
        <v>108</v>
      </c>
      <c r="R3" s="173" t="s">
        <v>119</v>
      </c>
      <c r="S3" s="174" t="s">
        <v>107</v>
      </c>
      <c r="T3" s="173" t="s">
        <v>108</v>
      </c>
      <c r="U3" s="175" t="s">
        <v>119</v>
      </c>
      <c r="V3" s="204" t="s">
        <v>110</v>
      </c>
      <c r="W3" s="204" t="s">
        <v>111</v>
      </c>
      <c r="X3" s="205">
        <f>U1*S1+ROUNDDOWN(((P1-W1)/W1/2*U1*S1),0)</f>
        <v>11506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178"/>
      <c r="T4" s="177"/>
      <c r="U4" s="179"/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11506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>B4+A5</f>
        <v>240</v>
      </c>
      <c r="C5" s="118">
        <f t="shared" ref="C5:C36" si="0">C4+G5</f>
        <v>3.34</v>
      </c>
      <c r="D5" s="181" t="s">
        <v>4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3.34</v>
      </c>
      <c r="H5" s="183" t="s">
        <v>84</v>
      </c>
      <c r="I5" s="182">
        <v>10</v>
      </c>
      <c r="V5" s="201">
        <f>IF(H4="AFIII",VLOOKUP(D5,Sheet1!$A$4:$H$18,5,FALSE),IF(H4="UBIII",VLOOKUP(D5,Sheet1!$A$4:$H$18,8,FALSE),IF(H4="",VLOOKUP(D5,Sheet1!$A$4:$H$18,2,FALSE),"0")))</f>
        <v>1768</v>
      </c>
      <c r="W5" s="201">
        <f>IF(H4="UBIII",$X$2,0)</f>
        <v>0</v>
      </c>
      <c r="X5" s="208">
        <f>IF(D5="フレア",IF(M5="コンバート",$X$1,0),IF(X4-V5+W5&gt;$X$3,$X$3-V5,X4-V5+W5))</f>
        <v>9738</v>
      </c>
      <c r="Y5" s="171" t="str">
        <f t="shared" ref="Y5:Y36" si="1">IF(X4-V5&lt;0,"ERROR","SUCCESS")</f>
        <v>SUCCESS</v>
      </c>
      <c r="Z5" s="171" t="str">
        <f t="shared" ref="Z5:Z36" si="2">IF(K4-G5&lt;0,"ERROR","SUCCESS")</f>
        <v>ERROR</v>
      </c>
      <c r="AA5" s="185">
        <f>B5/C5</f>
        <v>71.856287425149702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324</v>
      </c>
      <c r="B6" s="113">
        <f t="shared" ref="B6:B36" si="3">B5+A6</f>
        <v>564</v>
      </c>
      <c r="C6" s="118">
        <f t="shared" si="0"/>
        <v>5.73</v>
      </c>
      <c r="D6" s="181" t="s">
        <v>1</v>
      </c>
      <c r="E6" s="182">
        <f>IF(H5="AFIII",VLOOKUP($D6,Sheet1!$A$34:$K$48,5,FALSE),IF(H5="UBIII",VLOOKUP($D6,Sheet1!$A$34:$K$48,8,FALSE),VLOOKUP($D6,Sheet1!$A$34:$K$48,2,FALSE)))</f>
        <v>2.39</v>
      </c>
      <c r="F6" s="182">
        <f>ROUNDDOWN((IF(H5="AFIII",VLOOKUP($D6,Sheet1!$A$34:$K$48,5,FALSE),IF(H5="UBIII",VLOOKUP($D6,Sheet1!$A$34:$K$48,8,FALSE),VLOOKUP($D6,Sheet1!$A$34:$K$48,2,FALSE))))*0.85,2)</f>
        <v>2.0299999999999998</v>
      </c>
      <c r="G6" s="182">
        <f t="shared" ref="G6:G36" si="4">IF(M5="迅速",IF(S5="黒魔紋",$F$1,$E$1),IF(S5="黒魔紋",IF(F6&lt;$F$1,$F$1,F6),IF(E6&lt;$E$1,$E$1,E6)))</f>
        <v>2.39</v>
      </c>
      <c r="H6" s="183" t="s">
        <v>84</v>
      </c>
      <c r="I6" s="182">
        <v>10</v>
      </c>
      <c r="V6" s="201">
        <f>IF(H5="AFIII",VLOOKUP(D6,Sheet1!$A$4:$H$18,5,FALSE),IF(H5="UBIII",VLOOKUP(D6,Sheet1!$A$4:$H$18,8,FALSE),IF(H5="",VLOOKUP(D6,Sheet1!$A$4:$H$18,2,FALSE),"0")))</f>
        <v>2120</v>
      </c>
      <c r="W6" s="201">
        <f t="shared" ref="W6:W36" si="5">IF(H5="UBIII",$X$2,0)</f>
        <v>0</v>
      </c>
      <c r="X6" s="208">
        <f t="shared" ref="X6:X36" si="6">IF(D6="フレア",IF(M6="コンバート",$X$1,0),IF(X5-V6+W6&gt;$X$3,$X$3-V6,X5-V6+W6))</f>
        <v>7618</v>
      </c>
      <c r="Y6" s="171" t="str">
        <f t="shared" si="1"/>
        <v>SUCCESS</v>
      </c>
      <c r="Z6" s="171" t="str">
        <f t="shared" si="2"/>
        <v>ERROR</v>
      </c>
      <c r="AA6" s="185">
        <f t="shared" ref="AA6:AA36" si="7">B6/C6</f>
        <v>98.429319371727743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324</v>
      </c>
      <c r="B7" s="113">
        <f t="shared" si="3"/>
        <v>888</v>
      </c>
      <c r="C7" s="118">
        <f t="shared" si="0"/>
        <v>8.120000000000001</v>
      </c>
      <c r="D7" s="181" t="s">
        <v>1</v>
      </c>
      <c r="E7" s="182">
        <f>IF(H6="AFIII",VLOOKUP($D7,Sheet1!$A$34:$K$48,5,FALSE),IF(H6="UBIII",VLOOKUP($D7,Sheet1!$A$34:$K$48,8,FALSE),VLOOKUP($D7,Sheet1!$A$34:$K$48,2,FALSE)))</f>
        <v>2.39</v>
      </c>
      <c r="F7" s="182">
        <f>ROUNDDOWN((IF(H6="AFIII",VLOOKUP($D7,Sheet1!$A$34:$K$48,5,FALSE),IF(H6="UBIII",VLOOKUP($D7,Sheet1!$A$34:$K$48,8,FALSE),VLOOKUP($D7,Sheet1!$A$34:$K$48,2,FALSE))))*0.85,2)</f>
        <v>2.0299999999999998</v>
      </c>
      <c r="G7" s="182">
        <f t="shared" si="4"/>
        <v>2.39</v>
      </c>
      <c r="H7" s="183" t="s">
        <v>84</v>
      </c>
      <c r="I7" s="182">
        <v>10</v>
      </c>
      <c r="V7" s="201">
        <f>IF(H6="AFIII",VLOOKUP(D7,Sheet1!$A$4:$H$18,5,FALSE),IF(H6="UBIII",VLOOKUP(D7,Sheet1!$A$4:$H$18,8,FALSE),IF(H6="",VLOOKUP(D7,Sheet1!$A$4:$H$18,2,FALSE),"0")))</f>
        <v>2120</v>
      </c>
      <c r="W7" s="201">
        <f t="shared" si="5"/>
        <v>0</v>
      </c>
      <c r="X7" s="208">
        <f t="shared" si="6"/>
        <v>5498</v>
      </c>
      <c r="Y7" s="171" t="str">
        <f t="shared" si="1"/>
        <v>SUCCESS</v>
      </c>
      <c r="Z7" s="171" t="str">
        <f t="shared" si="2"/>
        <v>ERROR</v>
      </c>
      <c r="AA7" s="185">
        <f t="shared" si="7"/>
        <v>109.35960591133004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324</v>
      </c>
      <c r="B8" s="113">
        <f t="shared" si="3"/>
        <v>1212</v>
      </c>
      <c r="C8" s="118">
        <f t="shared" si="0"/>
        <v>10.510000000000002</v>
      </c>
      <c r="D8" s="181" t="s">
        <v>222</v>
      </c>
      <c r="E8" s="182">
        <f>IF(H7="AFIII",VLOOKUP($D8,Sheet1!$A$34:$K$48,5,FALSE),IF(H7="UBIII",VLOOKUP($D8,Sheet1!$A$34:$K$48,8,FALSE),VLOOKUP($D8,Sheet1!$A$34:$K$48,2,FALSE)))</f>
        <v>2.39</v>
      </c>
      <c r="F8" s="182">
        <f>ROUNDDOWN((IF(H7="AFIII",VLOOKUP($D8,Sheet1!$A$34:$K$48,5,FALSE),IF(H7="UBIII",VLOOKUP($D8,Sheet1!$A$34:$K$48,8,FALSE),VLOOKUP($D8,Sheet1!$A$34:$K$48,2,FALSE))))*0.85,2)</f>
        <v>2.0299999999999998</v>
      </c>
      <c r="G8" s="182">
        <f t="shared" si="4"/>
        <v>2.39</v>
      </c>
      <c r="H8" s="183" t="s">
        <v>84</v>
      </c>
      <c r="I8" s="182">
        <v>10</v>
      </c>
      <c r="V8" s="201">
        <f>IF(H7="AFIII",VLOOKUP(D8,Sheet1!$A$4:$H$18,5,FALSE),IF(H7="UBIII",VLOOKUP(D8,Sheet1!$A$4:$H$18,8,FALSE),IF(H7="",VLOOKUP(D8,Sheet1!$A$4:$H$18,2,FALSE),"0")))</f>
        <v>2120</v>
      </c>
      <c r="W8" s="201">
        <f t="shared" si="5"/>
        <v>0</v>
      </c>
      <c r="X8" s="208">
        <f t="shared" si="6"/>
        <v>3378</v>
      </c>
      <c r="Y8" s="171" t="str">
        <f t="shared" si="1"/>
        <v>SUCCESS</v>
      </c>
      <c r="Z8" s="171" t="str">
        <f t="shared" si="2"/>
        <v>ERROR</v>
      </c>
      <c r="AA8" s="185">
        <f t="shared" si="7"/>
        <v>115.31874405328257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168</v>
      </c>
      <c r="B9" s="113">
        <f t="shared" si="3"/>
        <v>1380</v>
      </c>
      <c r="C9" s="118">
        <f t="shared" si="0"/>
        <v>12.900000000000002</v>
      </c>
      <c r="D9" s="181" t="s">
        <v>12</v>
      </c>
      <c r="E9" s="182">
        <f>IF(H8="AFIII",VLOOKUP($D9,Sheet1!$A$34:$K$48,5,FALSE),IF(H8="UBIII",VLOOKUP($D9,Sheet1!$A$34:$K$48,8,FALSE),VLOOKUP($D9,Sheet1!$A$34:$K$48,2,FALSE)))</f>
        <v>1.67</v>
      </c>
      <c r="F9" s="182">
        <f>ROUNDDOWN((IF(H8="AFIII",VLOOKUP($D9,Sheet1!$A$34:$K$48,5,FALSE),IF(H8="UBIII",VLOOKUP($D9,Sheet1!$A$34:$K$48,8,FALSE),VLOOKUP($D9,Sheet1!$A$34:$K$48,2,FALSE))))*0.85,2)</f>
        <v>1.41</v>
      </c>
      <c r="G9" s="182">
        <f t="shared" si="4"/>
        <v>2.39</v>
      </c>
      <c r="H9" s="183" t="s">
        <v>122</v>
      </c>
      <c r="I9" s="182">
        <v>10</v>
      </c>
      <c r="V9" s="201">
        <f>IF(H8="AFIII",VLOOKUP(D9,Sheet1!$A$4:$H$18,5,FALSE),IF(H8="UBIII",VLOOKUP(D9,Sheet1!$A$4:$H$18,8,FALSE),IF(H8="",VLOOKUP(D9,Sheet1!$A$4:$H$18,2,FALSE),"0")))</f>
        <v>265</v>
      </c>
      <c r="W9" s="201">
        <f t="shared" si="5"/>
        <v>0</v>
      </c>
      <c r="X9" s="208">
        <f t="shared" si="6"/>
        <v>3113</v>
      </c>
      <c r="Y9" s="171" t="str">
        <f t="shared" si="1"/>
        <v>SUCCESS</v>
      </c>
      <c r="Z9" s="171" t="str">
        <f t="shared" si="2"/>
        <v>ERROR</v>
      </c>
      <c r="AA9" s="185">
        <f t="shared" si="7"/>
        <v>106.97674418604649</v>
      </c>
    </row>
    <row r="10" spans="1:27">
      <c r="A10" s="12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295</v>
      </c>
      <c r="B10" s="123">
        <f t="shared" si="3"/>
        <v>1675</v>
      </c>
      <c r="C10" s="124">
        <f t="shared" si="0"/>
        <v>15.760000000000002</v>
      </c>
      <c r="D10" s="186" t="s">
        <v>19</v>
      </c>
      <c r="E10" s="187">
        <f>IF(H9="AFIII",VLOOKUP($D10,Sheet1!$A$34:$K$48,5,FALSE),IF(H9="UBIII",VLOOKUP($D10,Sheet1!$A$34:$K$48,8,FALSE),VLOOKUP($D10,Sheet1!$A$34:$K$48,2,FALSE)))</f>
        <v>2.86</v>
      </c>
      <c r="F10" s="187">
        <f>ROUNDDOWN((IF(H9="AFIII",VLOOKUP($D10,Sheet1!$A$34:$K$48,5,FALSE),IF(H9="UBIII",VLOOKUP($D10,Sheet1!$A$34:$K$48,8,FALSE),VLOOKUP($D10,Sheet1!$A$34:$K$48,2,FALSE))))*0.85,2)</f>
        <v>2.4300000000000002</v>
      </c>
      <c r="G10" s="187">
        <f t="shared" si="4"/>
        <v>2.86</v>
      </c>
      <c r="H10" s="188" t="s">
        <v>122</v>
      </c>
      <c r="I10" s="187">
        <v>10</v>
      </c>
      <c r="J10" s="188"/>
      <c r="K10" s="187"/>
      <c r="L10" s="187"/>
      <c r="M10" s="188"/>
      <c r="N10" s="187"/>
      <c r="O10" s="187"/>
      <c r="P10" s="188" t="s">
        <v>17</v>
      </c>
      <c r="Q10" s="187">
        <v>21</v>
      </c>
      <c r="R10" s="187"/>
      <c r="S10" s="188"/>
      <c r="T10" s="187"/>
      <c r="U10" s="189"/>
      <c r="V10" s="209">
        <f>IF(H9="AFIII",VLOOKUP(D10,Sheet1!$A$4:$H$18,5,FALSE),IF(H9="UBIII",VLOOKUP(D10,Sheet1!$A$4:$H$18,8,FALSE),IF(H9="",VLOOKUP(D10,Sheet1!$A$4:$H$18,2,FALSE),"0")))</f>
        <v>1060</v>
      </c>
      <c r="W10" s="209">
        <f t="shared" si="5"/>
        <v>7033</v>
      </c>
      <c r="X10" s="210">
        <f t="shared" si="6"/>
        <v>9086</v>
      </c>
      <c r="Y10" s="190" t="str">
        <f t="shared" si="1"/>
        <v>SUCCESS</v>
      </c>
      <c r="Z10" s="190" t="str">
        <f t="shared" si="2"/>
        <v>ERROR</v>
      </c>
      <c r="AA10" s="185">
        <f t="shared" si="7"/>
        <v>106.28172588832486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168</v>
      </c>
      <c r="B11" s="113">
        <f t="shared" si="3"/>
        <v>1843</v>
      </c>
      <c r="C11" s="118">
        <f t="shared" si="0"/>
        <v>18.150000000000002</v>
      </c>
      <c r="D11" s="181" t="s">
        <v>4</v>
      </c>
      <c r="E11" s="182">
        <f>IF(H10="AFIII",VLOOKUP($D11,Sheet1!$A$34:$K$48,5,FALSE),IF(H10="UBIII",VLOOKUP($D11,Sheet1!$A$34:$K$48,8,FALSE),VLOOKUP($D11,Sheet1!$A$34:$K$48,2,FALSE)))</f>
        <v>1.67</v>
      </c>
      <c r="F11" s="182">
        <f>ROUNDDOWN((IF(H10="AFIII",VLOOKUP($D11,Sheet1!$A$34:$K$48,5,FALSE),IF(H10="UBIII",VLOOKUP($D11,Sheet1!$A$34:$K$48,8,FALSE),VLOOKUP($D11,Sheet1!$A$34:$K$48,2,FALSE))))*0.85,2)</f>
        <v>1.41</v>
      </c>
      <c r="G11" s="182">
        <f t="shared" si="4"/>
        <v>2.39</v>
      </c>
      <c r="H11" s="183" t="s">
        <v>84</v>
      </c>
      <c r="I11" s="182">
        <v>10</v>
      </c>
      <c r="J11" s="183" t="s">
        <v>105</v>
      </c>
      <c r="K11" s="182">
        <v>30</v>
      </c>
      <c r="L11" s="182">
        <v>90</v>
      </c>
      <c r="M11" s="183" t="s">
        <v>96</v>
      </c>
      <c r="N11" s="182">
        <v>20</v>
      </c>
      <c r="O11" s="182">
        <v>180</v>
      </c>
      <c r="Q11" s="182">
        <f>Q10-G11</f>
        <v>18.61</v>
      </c>
      <c r="V11" s="201">
        <f>IF(H10="AFIII",VLOOKUP(D11,Sheet1!$A$4:$H$18,5,FALSE),IF(H10="UBIII",VLOOKUP(D11,Sheet1!$A$4:$H$18,8,FALSE),IF(H10="",VLOOKUP(D11,Sheet1!$A$4:$H$18,2,FALSE),"0")))</f>
        <v>442</v>
      </c>
      <c r="W11" s="201">
        <f t="shared" si="5"/>
        <v>7033</v>
      </c>
      <c r="X11" s="208">
        <f t="shared" si="6"/>
        <v>11064</v>
      </c>
      <c r="Y11" s="171" t="str">
        <f t="shared" si="1"/>
        <v>SUCCESS</v>
      </c>
      <c r="Z11" s="171" t="str">
        <f t="shared" si="2"/>
        <v>ERROR</v>
      </c>
      <c r="AA11" s="185">
        <f t="shared" si="7"/>
        <v>101.54269972451789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604</v>
      </c>
      <c r="B12" s="113">
        <f t="shared" si="3"/>
        <v>2447</v>
      </c>
      <c r="C12" s="118">
        <f t="shared" si="0"/>
        <v>21.01</v>
      </c>
      <c r="D12" s="181" t="s">
        <v>6</v>
      </c>
      <c r="E12" s="182">
        <f>IF(H11="AFIII",VLOOKUP($D12,Sheet1!$A$34:$K$48,5,FALSE),IF(H11="UBIII",VLOOKUP($D12,Sheet1!$A$34:$K$48,8,FALSE),VLOOKUP($D12,Sheet1!$A$34:$K$48,2,FALSE)))</f>
        <v>2.86</v>
      </c>
      <c r="F12" s="182">
        <f>ROUNDDOWN((IF(H11="AFIII",VLOOKUP($D12,Sheet1!$A$34:$K$48,5,FALSE),IF(H11="UBIII",VLOOKUP($D12,Sheet1!$A$34:$K$48,8,FALSE),VLOOKUP($D12,Sheet1!$A$34:$K$48,2,FALSE))))*0.85,2)</f>
        <v>2.4300000000000002</v>
      </c>
      <c r="G12" s="182">
        <f>IF(M11="迅速",IF(S11="黒魔紋",$F$1,$E$1),IF(S11="黒魔紋",IF(F12&lt;$F$1,$F$1,F12),IF(E12&lt;$E$1,$E$1,E12)))</f>
        <v>2.86</v>
      </c>
      <c r="H12" s="183" t="s">
        <v>84</v>
      </c>
      <c r="I12" s="182">
        <f>I11-G12</f>
        <v>7.1400000000000006</v>
      </c>
      <c r="K12" s="182">
        <f>K11-G12</f>
        <v>27.14</v>
      </c>
      <c r="L12" s="182">
        <f>L11-G12</f>
        <v>87.14</v>
      </c>
      <c r="N12" s="182">
        <f>N11-G12</f>
        <v>17.14</v>
      </c>
      <c r="Q12" s="182">
        <f t="shared" ref="Q12:Q20" si="8">Q11-G12</f>
        <v>15.75</v>
      </c>
      <c r="V12" s="201">
        <f>IF(H11="AFIII",VLOOKUP(D12,Sheet1!$A$4:$H$18,5,FALSE),IF(H11="UBIII",VLOOKUP(D12,Sheet1!$A$4:$H$18,8,FALSE),IF(H11="",VLOOKUP(D12,Sheet1!$A$4:$H$18,2,FALSE),"0")))</f>
        <v>1768</v>
      </c>
      <c r="W12" s="201">
        <f t="shared" si="5"/>
        <v>0</v>
      </c>
      <c r="X12" s="208">
        <f t="shared" si="6"/>
        <v>9296</v>
      </c>
      <c r="Y12" s="171" t="str">
        <f t="shared" si="1"/>
        <v>SUCCESS</v>
      </c>
      <c r="Z12" s="171" t="str">
        <f t="shared" si="2"/>
        <v>SUCCESS</v>
      </c>
      <c r="AA12" s="185">
        <f t="shared" si="7"/>
        <v>116.46834840552117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3"/>
        <v>3051</v>
      </c>
      <c r="C13" s="118">
        <f t="shared" si="0"/>
        <v>23.87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4"/>
        <v>2.86</v>
      </c>
      <c r="H13" s="183" t="s">
        <v>84</v>
      </c>
      <c r="I13" s="182">
        <f t="shared" ref="I13" si="9">I12-G13</f>
        <v>4.2800000000000011</v>
      </c>
      <c r="K13" s="182">
        <f t="shared" ref="K13:K21" si="10">K12-G13</f>
        <v>24.28</v>
      </c>
      <c r="L13" s="182">
        <f t="shared" ref="L13:L36" si="11">L12-G13</f>
        <v>84.28</v>
      </c>
      <c r="N13" s="182">
        <f>N12-G13</f>
        <v>14.280000000000001</v>
      </c>
      <c r="Q13" s="182">
        <f t="shared" si="8"/>
        <v>12.89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5"/>
        <v>0</v>
      </c>
      <c r="X13" s="208">
        <f t="shared" si="6"/>
        <v>7528</v>
      </c>
      <c r="Y13" s="171" t="str">
        <f t="shared" si="1"/>
        <v>SUCCESS</v>
      </c>
      <c r="Z13" s="171" t="str">
        <f t="shared" si="2"/>
        <v>SUCCESS</v>
      </c>
      <c r="AA13" s="185">
        <f t="shared" si="7"/>
        <v>127.8173439463762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388</v>
      </c>
      <c r="B14" s="113">
        <f t="shared" si="3"/>
        <v>3439</v>
      </c>
      <c r="C14" s="118">
        <f t="shared" si="0"/>
        <v>26.26</v>
      </c>
      <c r="D14" s="181" t="s">
        <v>1</v>
      </c>
      <c r="E14" s="182">
        <f>IF(H13="AFIII",VLOOKUP($D14,Sheet1!$A$34:$K$48,5,FALSE),IF(H13="UBIII",VLOOKUP($D14,Sheet1!$A$34:$K$48,8,FALSE),VLOOKUP($D14,Sheet1!$A$34:$K$48,2,FALSE)))</f>
        <v>2.39</v>
      </c>
      <c r="F14" s="182">
        <f>ROUNDDOWN((IF(H13="AFIII",VLOOKUP($D14,Sheet1!$A$34:$K$48,5,FALSE),IF(H13="UBIII",VLOOKUP($D14,Sheet1!$A$34:$K$48,8,FALSE),VLOOKUP($D14,Sheet1!$A$34:$K$48,2,FALSE))))*0.85,2)</f>
        <v>2.0299999999999998</v>
      </c>
      <c r="G14" s="182">
        <f t="shared" si="4"/>
        <v>2.39</v>
      </c>
      <c r="H14" s="183" t="s">
        <v>84</v>
      </c>
      <c r="I14" s="182">
        <v>10</v>
      </c>
      <c r="K14" s="182">
        <f t="shared" si="10"/>
        <v>21.89</v>
      </c>
      <c r="L14" s="182">
        <f t="shared" si="11"/>
        <v>81.89</v>
      </c>
      <c r="N14" s="182">
        <f t="shared" ref="N14" si="12">N13-G14</f>
        <v>11.89</v>
      </c>
      <c r="Q14" s="182">
        <f t="shared" si="8"/>
        <v>10.5</v>
      </c>
      <c r="V14" s="201">
        <f>IF(H13="AFIII",VLOOKUP(D14,Sheet1!$A$4:$H$18,5,FALSE),IF(H13="UBIII",VLOOKUP(D14,Sheet1!$A$4:$H$18,8,FALSE),IF(H13="",VLOOKUP(D14,Sheet1!$A$4:$H$18,2,FALSE),"0")))</f>
        <v>2120</v>
      </c>
      <c r="W14" s="201">
        <f t="shared" si="5"/>
        <v>0</v>
      </c>
      <c r="X14" s="208">
        <f t="shared" si="6"/>
        <v>5408</v>
      </c>
      <c r="Y14" s="171" t="str">
        <f t="shared" si="1"/>
        <v>SUCCESS</v>
      </c>
      <c r="Z14" s="171" t="str">
        <f t="shared" si="2"/>
        <v>SUCCESS</v>
      </c>
      <c r="AA14" s="185">
        <f t="shared" si="7"/>
        <v>130.95963442498095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604</v>
      </c>
      <c r="B15" s="113">
        <f t="shared" si="3"/>
        <v>4043</v>
      </c>
      <c r="C15" s="118">
        <f t="shared" si="0"/>
        <v>29.12</v>
      </c>
      <c r="D15" s="181" t="s">
        <v>6</v>
      </c>
      <c r="E15" s="182">
        <f>IF(H14="AFIII",VLOOKUP($D15,Sheet1!$A$34:$K$48,5,FALSE),IF(H14="UBIII",VLOOKUP($D15,Sheet1!$A$34:$K$48,8,FALSE),VLOOKUP($D15,Sheet1!$A$34:$K$48,2,FALSE)))</f>
        <v>2.86</v>
      </c>
      <c r="F15" s="182">
        <f>ROUNDDOWN((IF(H14="AFIII",VLOOKUP($D15,Sheet1!$A$34:$K$48,5,FALSE),IF(H14="UBIII",VLOOKUP($D15,Sheet1!$A$34:$K$48,8,FALSE),VLOOKUP($D15,Sheet1!$A$34:$K$48,2,FALSE))))*0.85,2)</f>
        <v>2.4300000000000002</v>
      </c>
      <c r="G15" s="182">
        <f t="shared" si="4"/>
        <v>2.86</v>
      </c>
      <c r="H15" s="183" t="s">
        <v>84</v>
      </c>
      <c r="I15" s="182">
        <f>I14-G15</f>
        <v>7.1400000000000006</v>
      </c>
      <c r="K15" s="182">
        <f>K14-G15</f>
        <v>19.03</v>
      </c>
      <c r="L15" s="182">
        <f>L14-G15</f>
        <v>79.03</v>
      </c>
      <c r="N15" s="182">
        <f>N14-G15</f>
        <v>9.0300000000000011</v>
      </c>
      <c r="Q15" s="182">
        <f t="shared" si="8"/>
        <v>7.6400000000000006</v>
      </c>
      <c r="V15" s="201">
        <f>IF(H14="AFIII",VLOOKUP(D15,Sheet1!$A$4:$H$18,5,FALSE),IF(H14="UBIII",VLOOKUP(D15,Sheet1!$A$4:$H$18,8,FALSE),IF(H14="",VLOOKUP(D15,Sheet1!$A$4:$H$18,2,FALSE),"0")))</f>
        <v>1768</v>
      </c>
      <c r="W15" s="201">
        <f t="shared" si="5"/>
        <v>0</v>
      </c>
      <c r="X15" s="208">
        <f t="shared" si="6"/>
        <v>3640</v>
      </c>
      <c r="Y15" s="171" t="str">
        <f t="shared" si="1"/>
        <v>SUCCESS</v>
      </c>
      <c r="Z15" s="171" t="str">
        <f t="shared" si="2"/>
        <v>SUCCESS</v>
      </c>
      <c r="AA15" s="185">
        <f t="shared" si="7"/>
        <v>138.83928571428572</v>
      </c>
    </row>
    <row r="16" spans="1:27">
      <c r="A16" s="112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604</v>
      </c>
      <c r="B16" s="113">
        <f t="shared" si="3"/>
        <v>4647</v>
      </c>
      <c r="C16" s="118">
        <f t="shared" si="0"/>
        <v>31.98</v>
      </c>
      <c r="D16" s="181" t="s">
        <v>6</v>
      </c>
      <c r="E16" s="182">
        <f>IF(H15="AFIII",VLOOKUP($D16,Sheet1!$A$34:$K$48,5,FALSE),IF(H15="UBIII",VLOOKUP($D16,Sheet1!$A$34:$K$48,8,FALSE),VLOOKUP($D16,Sheet1!$A$34:$K$48,2,FALSE)))</f>
        <v>2.86</v>
      </c>
      <c r="F16" s="182">
        <f>ROUNDDOWN((IF(H15="AFIII",VLOOKUP($D16,Sheet1!$A$34:$K$48,5,FALSE),IF(H15="UBIII",VLOOKUP($D16,Sheet1!$A$34:$K$48,8,FALSE),VLOOKUP($D16,Sheet1!$A$34:$K$48,2,FALSE))))*0.85,2)</f>
        <v>2.4300000000000002</v>
      </c>
      <c r="G16" s="182">
        <f t="shared" si="4"/>
        <v>2.86</v>
      </c>
      <c r="H16" s="183" t="s">
        <v>84</v>
      </c>
      <c r="I16" s="182">
        <f>I15-G16</f>
        <v>4.2800000000000011</v>
      </c>
      <c r="K16" s="182">
        <f t="shared" si="10"/>
        <v>16.170000000000002</v>
      </c>
      <c r="L16" s="182">
        <f t="shared" si="11"/>
        <v>76.17</v>
      </c>
      <c r="M16" s="183" t="s">
        <v>102</v>
      </c>
      <c r="N16" s="182">
        <f t="shared" ref="N16:N20" si="13">N15-G16</f>
        <v>6.1700000000000017</v>
      </c>
      <c r="O16" s="182">
        <v>60</v>
      </c>
      <c r="Q16" s="182">
        <f t="shared" si="8"/>
        <v>4.7800000000000011</v>
      </c>
      <c r="V16" s="201">
        <f>IF(H15="AFIII",VLOOKUP(D16,Sheet1!$A$4:$H$18,5,FALSE),IF(H15="UBIII",VLOOKUP(D16,Sheet1!$A$4:$H$18,8,FALSE),IF(H15="",VLOOKUP(D16,Sheet1!$A$4:$H$18,2,FALSE),"0")))</f>
        <v>1768</v>
      </c>
      <c r="W16" s="201">
        <f t="shared" si="5"/>
        <v>0</v>
      </c>
      <c r="X16" s="208">
        <f t="shared" si="6"/>
        <v>1872</v>
      </c>
      <c r="Y16" s="171" t="str">
        <f t="shared" si="1"/>
        <v>SUCCESS</v>
      </c>
      <c r="Z16" s="171" t="str">
        <f t="shared" si="2"/>
        <v>SUCCESS</v>
      </c>
      <c r="AA16" s="185">
        <f t="shared" si="7"/>
        <v>145.30956848030019</v>
      </c>
    </row>
    <row r="17" spans="1:27">
      <c r="A17" s="112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561</v>
      </c>
      <c r="B17" s="113">
        <f t="shared" si="3"/>
        <v>5208</v>
      </c>
      <c r="C17" s="118">
        <f t="shared" si="0"/>
        <v>34.369999999999997</v>
      </c>
      <c r="D17" s="181" t="s">
        <v>10</v>
      </c>
      <c r="E17" s="182">
        <f>IF(H16="AFIII",VLOOKUP($D17,Sheet1!$A$34:$K$48,5,FALSE),IF(H16="UBIII",VLOOKUP($D17,Sheet1!$A$34:$K$48,8,FALSE),VLOOKUP($D17,Sheet1!$A$34:$K$48,2,FALSE)))</f>
        <v>3.82</v>
      </c>
      <c r="F17" s="182">
        <f>ROUNDDOWN((IF(H16="AFIII",VLOOKUP($D17,Sheet1!$A$34:$K$48,5,FALSE),IF(H16="UBIII",VLOOKUP($D17,Sheet1!$A$34:$K$48,8,FALSE),VLOOKUP($D17,Sheet1!$A$34:$K$48,2,FALSE))))*0.85,2)</f>
        <v>3.24</v>
      </c>
      <c r="G17" s="182">
        <f t="shared" si="4"/>
        <v>2.39</v>
      </c>
      <c r="H17" s="183" t="s">
        <v>84</v>
      </c>
      <c r="I17" s="182">
        <v>10</v>
      </c>
      <c r="K17" s="182">
        <f t="shared" si="10"/>
        <v>13.780000000000001</v>
      </c>
      <c r="L17" s="182">
        <f t="shared" si="11"/>
        <v>73.78</v>
      </c>
      <c r="M17" s="183" t="s">
        <v>100</v>
      </c>
      <c r="N17" s="182">
        <f t="shared" si="13"/>
        <v>3.7800000000000016</v>
      </c>
      <c r="O17" s="182">
        <v>180</v>
      </c>
      <c r="P17" s="183" t="s">
        <v>133</v>
      </c>
      <c r="Q17" s="182">
        <f t="shared" si="8"/>
        <v>2.390000000000001</v>
      </c>
      <c r="R17" s="182">
        <v>60</v>
      </c>
      <c r="V17" s="201">
        <f>IF(H16="AFIII",VLOOKUP(D17,Sheet1!$A$4:$H$18,5,FALSE),IF(H16="UBIII",VLOOKUP(D17,Sheet1!$A$4:$H$18,8,FALSE),IF(H16="",VLOOKUP(D17,Sheet1!$A$4:$H$18,2,FALSE),"0")))</f>
        <v>884</v>
      </c>
      <c r="W17" s="201">
        <f t="shared" si="5"/>
        <v>0</v>
      </c>
      <c r="X17" s="208">
        <f t="shared" si="6"/>
        <v>3451</v>
      </c>
      <c r="Y17" s="171" t="str">
        <f t="shared" si="1"/>
        <v>SUCCESS</v>
      </c>
      <c r="Z17" s="171" t="str">
        <f t="shared" si="2"/>
        <v>SUCCESS</v>
      </c>
      <c r="AA17" s="185">
        <f t="shared" si="7"/>
        <v>151.52749490835032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388</v>
      </c>
      <c r="B18" s="113">
        <f t="shared" si="3"/>
        <v>5596</v>
      </c>
      <c r="C18" s="118">
        <f>C17+G18</f>
        <v>36.76</v>
      </c>
      <c r="D18" s="181" t="s">
        <v>1</v>
      </c>
      <c r="E18" s="182">
        <f>IF(H17="AFIII",VLOOKUP($D18,Sheet1!$A$34:$K$48,5,FALSE),IF(H17="UBIII",VLOOKUP($D18,Sheet1!$A$34:$K$48,8,FALSE),VLOOKUP($D18,Sheet1!$A$34:$K$48,2,FALSE)))</f>
        <v>2.39</v>
      </c>
      <c r="F18" s="182">
        <f>ROUNDDOWN((IF(H17="AFIII",VLOOKUP($D18,Sheet1!$A$34:$K$48,5,FALSE),IF(H17="UBIII",VLOOKUP($D18,Sheet1!$A$34:$K$48,8,FALSE),VLOOKUP($D18,Sheet1!$A$34:$K$48,2,FALSE))))*0.85,2)</f>
        <v>2.0299999999999998</v>
      </c>
      <c r="G18" s="182">
        <f t="shared" si="4"/>
        <v>2.39</v>
      </c>
      <c r="H18" s="183" t="s">
        <v>84</v>
      </c>
      <c r="I18" s="182">
        <v>10</v>
      </c>
      <c r="K18" s="182">
        <f t="shared" si="10"/>
        <v>11.39</v>
      </c>
      <c r="L18" s="182">
        <f t="shared" si="11"/>
        <v>71.39</v>
      </c>
      <c r="N18" s="182">
        <f t="shared" si="13"/>
        <v>1.3900000000000015</v>
      </c>
      <c r="Q18" s="182">
        <f t="shared" si="8"/>
        <v>0</v>
      </c>
      <c r="R18" s="182">
        <f>R17-G18</f>
        <v>57.61</v>
      </c>
      <c r="V18" s="201">
        <f>IF(H17="AFIII",VLOOKUP(D18,Sheet1!$A$4:$H$18,5,FALSE),IF(H17="UBIII",VLOOKUP(D18,Sheet1!$A$4:$H$18,8,FALSE),IF(H17="",VLOOKUP(D18,Sheet1!$A$4:$H$18,2,FALSE),"0")))</f>
        <v>2120</v>
      </c>
      <c r="W18" s="201">
        <f t="shared" si="5"/>
        <v>0</v>
      </c>
      <c r="X18" s="208">
        <f t="shared" si="6"/>
        <v>1331</v>
      </c>
      <c r="Y18" s="171" t="str">
        <f t="shared" si="1"/>
        <v>SUCCESS</v>
      </c>
      <c r="Z18" s="171" t="str">
        <f t="shared" si="2"/>
        <v>SUCCESS</v>
      </c>
      <c r="AA18" s="185">
        <f t="shared" si="7"/>
        <v>152.23068552774757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432</v>
      </c>
      <c r="B19" s="113">
        <f t="shared" si="3"/>
        <v>6028</v>
      </c>
      <c r="C19" s="118">
        <f t="shared" si="0"/>
        <v>39.15</v>
      </c>
      <c r="D19" s="181" t="s">
        <v>129</v>
      </c>
      <c r="E19" s="182">
        <f>IF(H18="AFIII",VLOOKUP($D19,Sheet1!$A$34:$K$48,5,FALSE),IF(H18="UBIII",VLOOKUP($D19,Sheet1!$A$34:$K$48,8,FALSE),VLOOKUP($D19,Sheet1!$A$34:$K$48,2,FALSE)))</f>
        <v>2.39</v>
      </c>
      <c r="F19" s="182">
        <f>ROUNDDOWN((IF(H18="AFIII",VLOOKUP($D19,Sheet1!$A$34:$K$48,5,FALSE),IF(H18="UBIII",VLOOKUP($D19,Sheet1!$A$34:$K$48,8,FALSE),VLOOKUP($D19,Sheet1!$A$34:$K$48,2,FALSE))))*0.85,2)</f>
        <v>2.0299999999999998</v>
      </c>
      <c r="G19" s="182">
        <f t="shared" si="4"/>
        <v>2.39</v>
      </c>
      <c r="H19" s="183" t="s">
        <v>84</v>
      </c>
      <c r="I19" s="182">
        <v>10</v>
      </c>
      <c r="K19" s="182">
        <f t="shared" si="10"/>
        <v>9</v>
      </c>
      <c r="L19" s="182">
        <f t="shared" si="11"/>
        <v>69</v>
      </c>
      <c r="M19" s="183" t="s">
        <v>140</v>
      </c>
      <c r="N19" s="182">
        <f t="shared" si="13"/>
        <v>-0.99999999999999867</v>
      </c>
      <c r="Q19" s="182">
        <f t="shared" si="8"/>
        <v>-2.39</v>
      </c>
      <c r="R19" s="182">
        <f t="shared" ref="R19:R36" si="14">R18-G19</f>
        <v>55.22</v>
      </c>
      <c r="V19" s="201">
        <f>IF(H18="AFIII",VLOOKUP(D19,Sheet1!$A$4:$H$18,5,FALSE),IF(H18="UBIII",VLOOKUP(D19,Sheet1!$A$4:$H$18,8,FALSE),IF(H18="",VLOOKUP(D19,Sheet1!$A$4:$H$18,2,FALSE),"0")))</f>
        <v>0</v>
      </c>
      <c r="W19" s="201">
        <f t="shared" si="5"/>
        <v>0</v>
      </c>
      <c r="X19" s="208">
        <f t="shared" si="6"/>
        <v>1331</v>
      </c>
      <c r="Y19" s="171" t="str">
        <f t="shared" si="1"/>
        <v>SUCCESS</v>
      </c>
      <c r="Z19" s="171" t="str">
        <f t="shared" si="2"/>
        <v>SUCCESS</v>
      </c>
      <c r="AA19" s="185">
        <f t="shared" si="7"/>
        <v>153.9719029374202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168</v>
      </c>
      <c r="B20" s="113">
        <f t="shared" si="3"/>
        <v>6196</v>
      </c>
      <c r="C20" s="118">
        <f t="shared" si="0"/>
        <v>41.54</v>
      </c>
      <c r="D20" s="181" t="s">
        <v>12</v>
      </c>
      <c r="E20" s="182">
        <f>IF(H19="AFIII",VLOOKUP($D20,Sheet1!$A$34:$K$48,5,FALSE),IF(H19="UBIII",VLOOKUP($D20,Sheet1!$A$34:$K$48,8,FALSE),VLOOKUP($D20,Sheet1!$A$34:$K$48,2,FALSE)))</f>
        <v>1.67</v>
      </c>
      <c r="F20" s="182">
        <f>ROUNDDOWN((IF(H19="AFIII",VLOOKUP($D20,Sheet1!$A$34:$K$48,5,FALSE),IF(H19="UBIII",VLOOKUP($D20,Sheet1!$A$34:$K$48,8,FALSE),VLOOKUP($D20,Sheet1!$A$34:$K$48,2,FALSE))))*0.85,2)</f>
        <v>1.41</v>
      </c>
      <c r="G20" s="182">
        <f t="shared" si="4"/>
        <v>2.39</v>
      </c>
      <c r="H20" s="183" t="s">
        <v>122</v>
      </c>
      <c r="I20" s="182">
        <v>10</v>
      </c>
      <c r="K20" s="182">
        <f t="shared" si="10"/>
        <v>6.6099999999999994</v>
      </c>
      <c r="L20" s="182">
        <f t="shared" si="11"/>
        <v>66.61</v>
      </c>
      <c r="N20" s="182">
        <f t="shared" si="13"/>
        <v>-3.3899999999999988</v>
      </c>
      <c r="O20" s="182">
        <f>O16-G17-G18-G20-G19</f>
        <v>50.44</v>
      </c>
      <c r="Q20" s="182">
        <f t="shared" si="8"/>
        <v>-4.78</v>
      </c>
      <c r="R20" s="182">
        <f t="shared" si="14"/>
        <v>52.83</v>
      </c>
      <c r="V20" s="201">
        <f>IF(H19="AFIII",VLOOKUP(D20,Sheet1!$A$4:$H$18,5,FALSE),IF(H19="UBIII",VLOOKUP(D20,Sheet1!$A$4:$H$18,8,FALSE),IF(H19="",VLOOKUP(D20,Sheet1!$A$4:$H$18,2,FALSE),"0")))</f>
        <v>265</v>
      </c>
      <c r="W20" s="201">
        <f t="shared" si="5"/>
        <v>0</v>
      </c>
      <c r="X20" s="208">
        <f t="shared" si="6"/>
        <v>1066</v>
      </c>
      <c r="Y20" s="171" t="str">
        <f t="shared" si="1"/>
        <v>SUCCESS</v>
      </c>
      <c r="Z20" s="171" t="str">
        <f t="shared" si="2"/>
        <v>SUCCESS</v>
      </c>
      <c r="AA20" s="185">
        <f t="shared" si="7"/>
        <v>149.1574386133847</v>
      </c>
    </row>
    <row r="21" spans="1:27">
      <c r="A21" s="112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295</v>
      </c>
      <c r="B21" s="113">
        <f t="shared" si="3"/>
        <v>6491</v>
      </c>
      <c r="C21" s="118">
        <f t="shared" si="0"/>
        <v>44.4</v>
      </c>
      <c r="D21" s="181" t="s">
        <v>19</v>
      </c>
      <c r="E21" s="182">
        <f>IF(H20="AFIII",VLOOKUP($D21,Sheet1!$A$34:$K$48,5,FALSE),IF(H20="UBIII",VLOOKUP($D21,Sheet1!$A$34:$K$48,8,FALSE),VLOOKUP($D21,Sheet1!$A$34:$K$48,2,FALSE)))</f>
        <v>2.86</v>
      </c>
      <c r="F21" s="182">
        <f>ROUNDDOWN((IF(H20="AFIII",VLOOKUP($D21,Sheet1!$A$34:$K$48,5,FALSE),IF(H20="UBIII",VLOOKUP($D21,Sheet1!$A$34:$K$48,8,FALSE),VLOOKUP($D21,Sheet1!$A$34:$K$48,2,FALSE))))*0.85,2)</f>
        <v>2.4300000000000002</v>
      </c>
      <c r="G21" s="182">
        <f t="shared" si="4"/>
        <v>2.86</v>
      </c>
      <c r="H21" s="183" t="s">
        <v>122</v>
      </c>
      <c r="I21" s="182">
        <f>I20-G21</f>
        <v>7.1400000000000006</v>
      </c>
      <c r="K21" s="182">
        <f t="shared" si="10"/>
        <v>3.7499999999999996</v>
      </c>
      <c r="L21" s="182">
        <f t="shared" si="11"/>
        <v>63.75</v>
      </c>
      <c r="O21" s="182">
        <f>O20-G21</f>
        <v>47.58</v>
      </c>
      <c r="P21" s="183" t="s">
        <v>17</v>
      </c>
      <c r="Q21" s="182">
        <v>21</v>
      </c>
      <c r="R21" s="182">
        <f t="shared" si="14"/>
        <v>49.97</v>
      </c>
      <c r="V21" s="201">
        <f>IF(H20="AFIII",VLOOKUP(D21,Sheet1!$A$4:$H$18,5,FALSE),IF(H20="UBIII",VLOOKUP(D21,Sheet1!$A$4:$H$18,8,FALSE),IF(H20="",VLOOKUP(D21,Sheet1!$A$4:$H$18,2,FALSE),"0")))</f>
        <v>1060</v>
      </c>
      <c r="W21" s="201">
        <f t="shared" si="5"/>
        <v>7033</v>
      </c>
      <c r="X21" s="208">
        <f t="shared" si="6"/>
        <v>7039</v>
      </c>
      <c r="Y21" s="171" t="str">
        <f t="shared" si="1"/>
        <v>SUCCESS</v>
      </c>
      <c r="Z21" s="171" t="str">
        <f t="shared" si="2"/>
        <v>SUCCESS</v>
      </c>
      <c r="AA21" s="185">
        <f t="shared" si="7"/>
        <v>146.19369369369369</v>
      </c>
    </row>
    <row r="22" spans="1:27">
      <c r="A22" s="119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280</v>
      </c>
      <c r="B22" s="120">
        <f t="shared" si="3"/>
        <v>6771</v>
      </c>
      <c r="C22" s="121">
        <f t="shared" si="0"/>
        <v>47.26</v>
      </c>
      <c r="D22" s="191" t="s">
        <v>14</v>
      </c>
      <c r="E22" s="192">
        <f>IF(H21="AFIII",VLOOKUP($D22,Sheet1!$A$34:$K$48,5,FALSE),IF(H21="UBIII",VLOOKUP($D22,Sheet1!$A$34:$K$48,8,FALSE),VLOOKUP($D22,Sheet1!$A$34:$K$48,2,FALSE)))</f>
        <v>2.86</v>
      </c>
      <c r="F22" s="192">
        <f>ROUNDDOWN((IF(H21="AFIII",VLOOKUP($D22,Sheet1!$A$34:$K$48,5,FALSE),IF(H21="UBIII",VLOOKUP($D22,Sheet1!$A$34:$K$48,8,FALSE),VLOOKUP($D22,Sheet1!$A$34:$K$48,2,FALSE))))*0.85,2)</f>
        <v>2.4300000000000002</v>
      </c>
      <c r="G22" s="192">
        <f t="shared" si="4"/>
        <v>2.86</v>
      </c>
      <c r="H22" s="193" t="s">
        <v>122</v>
      </c>
      <c r="I22" s="192">
        <f t="shared" ref="I22" si="15">I21-G22</f>
        <v>4.2800000000000011</v>
      </c>
      <c r="J22" s="193"/>
      <c r="K22" s="192">
        <v>25</v>
      </c>
      <c r="L22" s="192">
        <f t="shared" si="11"/>
        <v>60.89</v>
      </c>
      <c r="M22" s="193"/>
      <c r="N22" s="192"/>
      <c r="O22" s="192">
        <f t="shared" ref="O22:O36" si="16">O21-G22</f>
        <v>44.72</v>
      </c>
      <c r="P22" s="193"/>
      <c r="Q22" s="192">
        <f>Q21-G22</f>
        <v>18.14</v>
      </c>
      <c r="R22" s="192">
        <f t="shared" si="14"/>
        <v>47.11</v>
      </c>
      <c r="S22" s="193"/>
      <c r="T22" s="192"/>
      <c r="U22" s="194"/>
      <c r="V22" s="211">
        <f>IF(H21="AFIII",VLOOKUP(D22,Sheet1!$A$4:$H$18,5,FALSE),IF(H21="UBIII",VLOOKUP(D22,Sheet1!$A$4:$H$18,8,FALSE),IF(H21="",VLOOKUP(D22,Sheet1!$A$4:$H$18,2,FALSE),"0")))</f>
        <v>884</v>
      </c>
      <c r="W22" s="211">
        <f t="shared" si="5"/>
        <v>7033</v>
      </c>
      <c r="X22" s="212">
        <f t="shared" si="6"/>
        <v>10622</v>
      </c>
      <c r="Y22" s="195" t="str">
        <f t="shared" si="1"/>
        <v>SUCCESS</v>
      </c>
      <c r="Z22" s="195" t="str">
        <f t="shared" si="2"/>
        <v>SUCCESS</v>
      </c>
      <c r="AA22" s="185">
        <f t="shared" si="7"/>
        <v>143.27126534066863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168</v>
      </c>
      <c r="B23" s="113">
        <f t="shared" si="3"/>
        <v>6939</v>
      </c>
      <c r="C23" s="118">
        <f t="shared" si="0"/>
        <v>49.65</v>
      </c>
      <c r="D23" s="181" t="s">
        <v>4</v>
      </c>
      <c r="E23" s="182">
        <f>IF(H22="AFIII",VLOOKUP($D23,Sheet1!$A$34:$K$48,5,FALSE),IF(H22="UBIII",VLOOKUP($D23,Sheet1!$A$34:$K$48,8,FALSE),VLOOKUP($D23,Sheet1!$A$34:$K$48,2,FALSE)))</f>
        <v>1.67</v>
      </c>
      <c r="F23" s="182">
        <f>ROUNDDOWN((IF(H22="AFIII",VLOOKUP($D23,Sheet1!$A$34:$K$48,5,FALSE),IF(H22="UBIII",VLOOKUP($D23,Sheet1!$A$34:$K$48,8,FALSE),VLOOKUP($D23,Sheet1!$A$34:$K$48,2,FALSE))))*0.85,2)</f>
        <v>1.41</v>
      </c>
      <c r="G23" s="182">
        <f t="shared" si="4"/>
        <v>2.39</v>
      </c>
      <c r="H23" s="183" t="s">
        <v>84</v>
      </c>
      <c r="I23" s="182">
        <v>10</v>
      </c>
      <c r="K23" s="182">
        <f>K22-G23</f>
        <v>22.61</v>
      </c>
      <c r="L23" s="182">
        <f t="shared" si="11"/>
        <v>58.5</v>
      </c>
      <c r="O23" s="182">
        <f t="shared" si="16"/>
        <v>42.33</v>
      </c>
      <c r="Q23" s="182">
        <f>Q22-G23</f>
        <v>15.75</v>
      </c>
      <c r="R23" s="182">
        <f t="shared" si="14"/>
        <v>44.72</v>
      </c>
      <c r="V23" s="201">
        <f>IF(H22="AFIII",VLOOKUP(D23,Sheet1!$A$4:$H$18,5,FALSE),IF(H22="UBIII",VLOOKUP(D23,Sheet1!$A$4:$H$18,8,FALSE),IF(H22="",VLOOKUP(D23,Sheet1!$A$4:$H$18,2,FALSE),"0")))</f>
        <v>442</v>
      </c>
      <c r="W23" s="201">
        <f t="shared" si="5"/>
        <v>7033</v>
      </c>
      <c r="X23" s="208">
        <f t="shared" si="6"/>
        <v>11064</v>
      </c>
      <c r="Y23" s="171" t="str">
        <f t="shared" si="1"/>
        <v>SUCCESS</v>
      </c>
      <c r="Z23" s="171" t="str">
        <f t="shared" si="2"/>
        <v>SUCCESS</v>
      </c>
      <c r="AA23" s="185">
        <f t="shared" si="7"/>
        <v>139.75830815709969</v>
      </c>
    </row>
    <row r="24" spans="1:27">
      <c r="A24" s="112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504</v>
      </c>
      <c r="B24" s="113">
        <f t="shared" si="3"/>
        <v>7443</v>
      </c>
      <c r="C24" s="118">
        <f t="shared" si="0"/>
        <v>52.51</v>
      </c>
      <c r="D24" s="181" t="s">
        <v>6</v>
      </c>
      <c r="E24" s="182">
        <f>IF(H23="AFIII",VLOOKUP($D24,Sheet1!$A$34:$K$48,5,FALSE),IF(H23="UBIII",VLOOKUP($D24,Sheet1!$A$34:$K$48,8,FALSE),VLOOKUP($D24,Sheet1!$A$34:$K$48,2,FALSE)))</f>
        <v>2.86</v>
      </c>
      <c r="F24" s="182">
        <f>ROUNDDOWN((IF(H23="AFIII",VLOOKUP($D24,Sheet1!$A$34:$K$48,5,FALSE),IF(H23="UBIII",VLOOKUP($D24,Sheet1!$A$34:$K$48,8,FALSE),VLOOKUP($D24,Sheet1!$A$34:$K$48,2,FALSE))))*0.85,2)</f>
        <v>2.4300000000000002</v>
      </c>
      <c r="G24" s="182">
        <f t="shared" si="4"/>
        <v>2.86</v>
      </c>
      <c r="H24" s="183" t="s">
        <v>84</v>
      </c>
      <c r="I24" s="182">
        <f>I23-G24</f>
        <v>7.1400000000000006</v>
      </c>
      <c r="K24" s="182">
        <f t="shared" ref="K24:K30" si="17">K23-G24</f>
        <v>19.75</v>
      </c>
      <c r="L24" s="182">
        <f t="shared" si="11"/>
        <v>55.64</v>
      </c>
      <c r="O24" s="182">
        <f t="shared" si="16"/>
        <v>39.47</v>
      </c>
      <c r="Q24" s="182">
        <f t="shared" ref="Q24:Q29" si="18">Q23-G24</f>
        <v>12.89</v>
      </c>
      <c r="R24" s="182">
        <f t="shared" si="14"/>
        <v>41.86</v>
      </c>
      <c r="V24" s="201">
        <f>IF(H23="AFIII",VLOOKUP(D24,Sheet1!$A$4:$H$18,5,FALSE),IF(H23="UBIII",VLOOKUP(D24,Sheet1!$A$4:$H$18,8,FALSE),IF(H23="",VLOOKUP(D24,Sheet1!$A$4:$H$18,2,FALSE),"0")))</f>
        <v>1768</v>
      </c>
      <c r="W24" s="201">
        <f t="shared" si="5"/>
        <v>0</v>
      </c>
      <c r="X24" s="208">
        <f t="shared" si="6"/>
        <v>9296</v>
      </c>
      <c r="Y24" s="171" t="str">
        <f t="shared" si="1"/>
        <v>SUCCESS</v>
      </c>
      <c r="Z24" s="171" t="str">
        <f t="shared" si="2"/>
        <v>SUCCESS</v>
      </c>
      <c r="AA24" s="185">
        <f t="shared" si="7"/>
        <v>141.74442963245096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504</v>
      </c>
      <c r="B25" s="113">
        <f t="shared" si="3"/>
        <v>7947</v>
      </c>
      <c r="C25" s="118">
        <f t="shared" si="0"/>
        <v>55.37</v>
      </c>
      <c r="D25" s="181" t="s">
        <v>6</v>
      </c>
      <c r="E25" s="182">
        <f>IF(H24="AFIII",VLOOKUP($D25,Sheet1!$A$34:$K$48,5,FALSE),IF(H24="UBIII",VLOOKUP($D25,Sheet1!$A$34:$K$48,8,FALSE),VLOOKUP($D25,Sheet1!$A$34:$K$48,2,FALSE)))</f>
        <v>2.86</v>
      </c>
      <c r="F25" s="182">
        <f>ROUNDDOWN((IF(H24="AFIII",VLOOKUP($D25,Sheet1!$A$34:$K$48,5,FALSE),IF(H24="UBIII",VLOOKUP($D25,Sheet1!$A$34:$K$48,8,FALSE),VLOOKUP($D25,Sheet1!$A$34:$K$48,2,FALSE))))*0.85,2)</f>
        <v>2.4300000000000002</v>
      </c>
      <c r="G25" s="182">
        <f t="shared" si="4"/>
        <v>2.86</v>
      </c>
      <c r="H25" s="183" t="s">
        <v>84</v>
      </c>
      <c r="I25" s="182">
        <f>I24-G25</f>
        <v>4.2800000000000011</v>
      </c>
      <c r="K25" s="182">
        <f t="shared" si="17"/>
        <v>16.89</v>
      </c>
      <c r="L25" s="182">
        <f t="shared" si="11"/>
        <v>52.78</v>
      </c>
      <c r="O25" s="182">
        <f t="shared" si="16"/>
        <v>36.61</v>
      </c>
      <c r="Q25" s="182">
        <f t="shared" si="18"/>
        <v>10.030000000000001</v>
      </c>
      <c r="R25" s="182">
        <f t="shared" si="14"/>
        <v>39</v>
      </c>
      <c r="V25" s="201">
        <f>IF(H24="AFIII",VLOOKUP(D25,Sheet1!$A$4:$H$18,5,FALSE),IF(H24="UBIII",VLOOKUP(D25,Sheet1!$A$4:$H$18,8,FALSE),IF(H24="",VLOOKUP(D25,Sheet1!$A$4:$H$18,2,FALSE),"0")))</f>
        <v>1768</v>
      </c>
      <c r="W25" s="201">
        <f t="shared" si="5"/>
        <v>0</v>
      </c>
      <c r="X25" s="208">
        <f t="shared" si="6"/>
        <v>7528</v>
      </c>
      <c r="Y25" s="171" t="str">
        <f t="shared" si="1"/>
        <v>SUCCESS</v>
      </c>
      <c r="Z25" s="171" t="str">
        <f t="shared" si="2"/>
        <v>SUCCESS</v>
      </c>
      <c r="AA25" s="185">
        <f t="shared" si="7"/>
        <v>143.5253747516706</v>
      </c>
    </row>
    <row r="26" spans="1:27">
      <c r="A26" s="112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324</v>
      </c>
      <c r="B26" s="113">
        <f t="shared" si="3"/>
        <v>8271</v>
      </c>
      <c r="C26" s="118">
        <f t="shared" si="0"/>
        <v>57.76</v>
      </c>
      <c r="D26" s="181" t="s">
        <v>1</v>
      </c>
      <c r="E26" s="182">
        <f>IF(H25="AFIII",VLOOKUP($D26,Sheet1!$A$34:$K$48,5,FALSE),IF(H25="UBIII",VLOOKUP($D26,Sheet1!$A$34:$K$48,8,FALSE),VLOOKUP($D26,Sheet1!$A$34:$K$48,2,FALSE)))</f>
        <v>2.39</v>
      </c>
      <c r="F26" s="182">
        <f>ROUNDDOWN((IF(H25="AFIII",VLOOKUP($D26,Sheet1!$A$34:$K$48,5,FALSE),IF(H25="UBIII",VLOOKUP($D26,Sheet1!$A$34:$K$48,8,FALSE),VLOOKUP($D26,Sheet1!$A$34:$K$48,2,FALSE))))*0.85,2)</f>
        <v>2.0299999999999998</v>
      </c>
      <c r="G26" s="182">
        <f t="shared" si="4"/>
        <v>2.39</v>
      </c>
      <c r="H26" s="183" t="s">
        <v>84</v>
      </c>
      <c r="I26" s="182">
        <v>10</v>
      </c>
      <c r="K26" s="182">
        <f t="shared" si="17"/>
        <v>14.5</v>
      </c>
      <c r="L26" s="182">
        <f t="shared" si="11"/>
        <v>50.39</v>
      </c>
      <c r="O26" s="182">
        <f t="shared" si="16"/>
        <v>34.22</v>
      </c>
      <c r="Q26" s="182">
        <f t="shared" si="18"/>
        <v>7.6400000000000006</v>
      </c>
      <c r="R26" s="182">
        <f t="shared" si="14"/>
        <v>36.61</v>
      </c>
      <c r="V26" s="201">
        <f>IF(H25="AFIII",VLOOKUP(D26,Sheet1!$A$4:$H$18,5,FALSE),IF(H25="UBIII",VLOOKUP(D26,Sheet1!$A$4:$H$18,8,FALSE),IF(H25="",VLOOKUP(D26,Sheet1!$A$4:$H$18,2,FALSE),"0")))</f>
        <v>2120</v>
      </c>
      <c r="W26" s="201">
        <f t="shared" si="5"/>
        <v>0</v>
      </c>
      <c r="X26" s="208">
        <f t="shared" si="6"/>
        <v>5408</v>
      </c>
      <c r="Y26" s="171" t="str">
        <f t="shared" si="1"/>
        <v>SUCCESS</v>
      </c>
      <c r="Z26" s="171" t="str">
        <f t="shared" si="2"/>
        <v>SUCCESS</v>
      </c>
      <c r="AA26" s="185">
        <f t="shared" si="7"/>
        <v>143.1959833795014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504</v>
      </c>
      <c r="B27" s="113">
        <f t="shared" si="3"/>
        <v>8775</v>
      </c>
      <c r="C27" s="118">
        <f t="shared" si="0"/>
        <v>60.62</v>
      </c>
      <c r="D27" s="181" t="s">
        <v>6</v>
      </c>
      <c r="E27" s="182">
        <f>IF(H26="AFIII",VLOOKUP($D27,Sheet1!$A$34:$K$48,5,FALSE),IF(H26="UBIII",VLOOKUP($D27,Sheet1!$A$34:$K$48,8,FALSE),VLOOKUP($D27,Sheet1!$A$34:$K$48,2,FALSE)))</f>
        <v>2.86</v>
      </c>
      <c r="F27" s="182">
        <f>ROUNDDOWN((IF(H26="AFIII",VLOOKUP($D27,Sheet1!$A$34:$K$48,5,FALSE),IF(H26="UBIII",VLOOKUP($D27,Sheet1!$A$34:$K$48,8,FALSE),VLOOKUP($D27,Sheet1!$A$34:$K$48,2,FALSE))))*0.85,2)</f>
        <v>2.4300000000000002</v>
      </c>
      <c r="G27" s="182">
        <f t="shared" si="4"/>
        <v>2.86</v>
      </c>
      <c r="H27" s="183" t="s">
        <v>84</v>
      </c>
      <c r="I27" s="182">
        <f>I26-G27</f>
        <v>7.1400000000000006</v>
      </c>
      <c r="K27" s="182">
        <f t="shared" si="17"/>
        <v>11.64</v>
      </c>
      <c r="L27" s="182">
        <f t="shared" si="11"/>
        <v>47.53</v>
      </c>
      <c r="O27" s="182">
        <f t="shared" si="16"/>
        <v>31.36</v>
      </c>
      <c r="Q27" s="182">
        <f t="shared" si="18"/>
        <v>4.7800000000000011</v>
      </c>
      <c r="R27" s="182">
        <f t="shared" si="14"/>
        <v>33.75</v>
      </c>
      <c r="V27" s="201">
        <f>IF(H26="AFIII",VLOOKUP(D27,Sheet1!$A$4:$H$18,5,FALSE),IF(H26="UBIII",VLOOKUP(D27,Sheet1!$A$4:$H$18,8,FALSE),IF(H26="",VLOOKUP(D27,Sheet1!$A$4:$H$18,2,FALSE),"0")))</f>
        <v>1768</v>
      </c>
      <c r="W27" s="201">
        <f t="shared" si="5"/>
        <v>0</v>
      </c>
      <c r="X27" s="208">
        <f t="shared" si="6"/>
        <v>3640</v>
      </c>
      <c r="Y27" s="171" t="str">
        <f t="shared" si="1"/>
        <v>SUCCESS</v>
      </c>
      <c r="Z27" s="171" t="str">
        <f t="shared" si="2"/>
        <v>SUCCESS</v>
      </c>
      <c r="AA27" s="185">
        <f t="shared" si="7"/>
        <v>144.75420653249753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si="3"/>
        <v>9279</v>
      </c>
      <c r="C28" s="118">
        <f t="shared" si="0"/>
        <v>63.48</v>
      </c>
      <c r="D28" s="181" t="s">
        <v>6</v>
      </c>
      <c r="E28" s="182">
        <f>IF(H27="AFIII",VLOOKUP($D28,Sheet1!$A$34:$K$48,5,FALSE),IF(H27="UBIII",VLOOKUP($D28,Sheet1!$A$34:$K$48,8,FALSE),VLOOKUP($D28,Sheet1!$A$34:$K$48,2,FALSE)))</f>
        <v>2.86</v>
      </c>
      <c r="F28" s="182">
        <f>ROUNDDOWN((IF(H27="AFIII",VLOOKUP($D28,Sheet1!$A$34:$K$48,5,FALSE),IF(H27="UBIII",VLOOKUP($D28,Sheet1!$A$34:$K$48,8,FALSE),VLOOKUP($D28,Sheet1!$A$34:$K$48,2,FALSE))))*0.85,2)</f>
        <v>2.4300000000000002</v>
      </c>
      <c r="G28" s="182">
        <f t="shared" si="4"/>
        <v>2.86</v>
      </c>
      <c r="H28" s="183" t="s">
        <v>84</v>
      </c>
      <c r="I28" s="182">
        <f>I27-G28</f>
        <v>4.2800000000000011</v>
      </c>
      <c r="K28" s="182">
        <f t="shared" si="17"/>
        <v>8.7800000000000011</v>
      </c>
      <c r="L28" s="182">
        <f t="shared" si="11"/>
        <v>44.67</v>
      </c>
      <c r="O28" s="182">
        <f t="shared" si="16"/>
        <v>28.5</v>
      </c>
      <c r="Q28" s="182">
        <f t="shared" si="18"/>
        <v>1.9200000000000013</v>
      </c>
      <c r="R28" s="182">
        <f t="shared" si="14"/>
        <v>30.89</v>
      </c>
      <c r="V28" s="201">
        <f>IF(H27="AFIII",VLOOKUP(D28,Sheet1!$A$4:$H$18,5,FALSE),IF(H27="UBIII",VLOOKUP(D28,Sheet1!$A$4:$H$18,8,FALSE),IF(H27="",VLOOKUP(D28,Sheet1!$A$4:$H$18,2,FALSE),"0")))</f>
        <v>1768</v>
      </c>
      <c r="W28" s="201">
        <f t="shared" si="5"/>
        <v>0</v>
      </c>
      <c r="X28" s="208">
        <f t="shared" si="6"/>
        <v>1872</v>
      </c>
      <c r="Y28" s="171" t="str">
        <f t="shared" si="1"/>
        <v>SUCCESS</v>
      </c>
      <c r="Z28" s="171" t="str">
        <f t="shared" si="2"/>
        <v>SUCCESS</v>
      </c>
      <c r="AA28" s="185">
        <f t="shared" si="7"/>
        <v>146.17202268431004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168</v>
      </c>
      <c r="B29" s="113">
        <f t="shared" si="3"/>
        <v>9447</v>
      </c>
      <c r="C29" s="118">
        <f t="shared" si="0"/>
        <v>65.86999999999999</v>
      </c>
      <c r="D29" s="181" t="s">
        <v>12</v>
      </c>
      <c r="E29" s="182">
        <f>IF(H28="AFIII",VLOOKUP($D29,Sheet1!$A$34:$K$48,5,FALSE),IF(H28="UBIII",VLOOKUP($D29,Sheet1!$A$34:$K$48,8,FALSE),VLOOKUP($D29,Sheet1!$A$34:$K$48,2,FALSE)))</f>
        <v>1.67</v>
      </c>
      <c r="F29" s="182">
        <f>ROUNDDOWN((IF(H28="AFIII",VLOOKUP($D29,Sheet1!$A$34:$K$48,5,FALSE),IF(H28="UBIII",VLOOKUP($D29,Sheet1!$A$34:$K$48,8,FALSE),VLOOKUP($D29,Sheet1!$A$34:$K$48,2,FALSE))))*0.85,2)</f>
        <v>1.41</v>
      </c>
      <c r="G29" s="182">
        <f t="shared" si="4"/>
        <v>2.39</v>
      </c>
      <c r="H29" s="183" t="s">
        <v>122</v>
      </c>
      <c r="I29" s="182">
        <v>10</v>
      </c>
      <c r="K29" s="182">
        <f t="shared" si="17"/>
        <v>6.3900000000000006</v>
      </c>
      <c r="L29" s="182">
        <f t="shared" si="11"/>
        <v>42.28</v>
      </c>
      <c r="O29" s="182">
        <f t="shared" si="16"/>
        <v>26.11</v>
      </c>
      <c r="Q29" s="182">
        <f t="shared" si="18"/>
        <v>-0.46999999999999886</v>
      </c>
      <c r="R29" s="182">
        <f t="shared" si="14"/>
        <v>28.5</v>
      </c>
      <c r="S29" s="183" t="s">
        <v>221</v>
      </c>
      <c r="T29" s="182">
        <v>30</v>
      </c>
      <c r="U29" s="184">
        <v>90</v>
      </c>
      <c r="V29" s="201">
        <f>IF(H28="AFIII",VLOOKUP(D29,Sheet1!$A$4:$H$18,5,FALSE),IF(H28="UBIII",VLOOKUP(D29,Sheet1!$A$4:$H$18,8,FALSE),IF(H28="",VLOOKUP(D29,Sheet1!$A$4:$H$18,2,FALSE),"0")))</f>
        <v>265</v>
      </c>
      <c r="W29" s="201">
        <f t="shared" si="5"/>
        <v>0</v>
      </c>
      <c r="X29" s="208">
        <f t="shared" si="6"/>
        <v>1607</v>
      </c>
      <c r="Y29" s="171" t="str">
        <f t="shared" si="1"/>
        <v>SUCCESS</v>
      </c>
      <c r="Z29" s="171" t="str">
        <f t="shared" si="2"/>
        <v>SUCCESS</v>
      </c>
      <c r="AA29" s="185">
        <f t="shared" si="7"/>
        <v>143.41885532108702</v>
      </c>
    </row>
    <row r="30" spans="1:27">
      <c r="A30" s="112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295</v>
      </c>
      <c r="B30" s="113">
        <f t="shared" si="3"/>
        <v>9742</v>
      </c>
      <c r="C30" s="118">
        <f t="shared" si="0"/>
        <v>68.3</v>
      </c>
      <c r="D30" s="181" t="s">
        <v>19</v>
      </c>
      <c r="E30" s="182">
        <f>IF(H29="AFIII",VLOOKUP($D30,Sheet1!$A$34:$K$48,5,FALSE),IF(H29="UBIII",VLOOKUP($D30,Sheet1!$A$34:$K$48,8,FALSE),VLOOKUP($D30,Sheet1!$A$34:$K$48,2,FALSE)))</f>
        <v>2.86</v>
      </c>
      <c r="F30" s="182">
        <f>ROUNDDOWN((IF(H29="AFIII",VLOOKUP($D30,Sheet1!$A$34:$K$48,5,FALSE),IF(H29="UBIII",VLOOKUP($D30,Sheet1!$A$34:$K$48,8,FALSE),VLOOKUP($D30,Sheet1!$A$34:$K$48,2,FALSE))))*0.85,2)</f>
        <v>2.4300000000000002</v>
      </c>
      <c r="G30" s="182">
        <f t="shared" si="4"/>
        <v>2.4300000000000002</v>
      </c>
      <c r="H30" s="183" t="s">
        <v>122</v>
      </c>
      <c r="I30" s="182">
        <f>I29-G30</f>
        <v>7.57</v>
      </c>
      <c r="K30" s="182">
        <f t="shared" si="17"/>
        <v>3.9600000000000004</v>
      </c>
      <c r="L30" s="182">
        <f t="shared" si="11"/>
        <v>39.85</v>
      </c>
      <c r="O30" s="182">
        <f t="shared" si="16"/>
        <v>23.68</v>
      </c>
      <c r="P30" s="183" t="s">
        <v>17</v>
      </c>
      <c r="Q30" s="182">
        <v>21</v>
      </c>
      <c r="R30" s="182">
        <f t="shared" si="14"/>
        <v>26.07</v>
      </c>
      <c r="S30" s="183" t="s">
        <v>217</v>
      </c>
      <c r="T30" s="182">
        <f t="shared" ref="T30:T32" si="19">T29-G30</f>
        <v>27.57</v>
      </c>
      <c r="U30" s="184">
        <f t="shared" ref="U30:U32" si="20">U29-G30</f>
        <v>87.57</v>
      </c>
      <c r="V30" s="201">
        <f>IF(H29="AFIII",VLOOKUP(D30,Sheet1!$A$4:$H$18,5,FALSE),IF(H29="UBIII",VLOOKUP(D30,Sheet1!$A$4:$H$18,8,FALSE),IF(H29="",VLOOKUP(D30,Sheet1!$A$4:$H$18,2,FALSE),"0")))</f>
        <v>1060</v>
      </c>
      <c r="W30" s="201">
        <f t="shared" si="5"/>
        <v>7033</v>
      </c>
      <c r="X30" s="208">
        <f t="shared" si="6"/>
        <v>7580</v>
      </c>
      <c r="Y30" s="171" t="str">
        <f t="shared" si="1"/>
        <v>SUCCESS</v>
      </c>
      <c r="Z30" s="171" t="str">
        <f t="shared" si="2"/>
        <v>SUCCESS</v>
      </c>
      <c r="AA30" s="185">
        <f t="shared" si="7"/>
        <v>142.63543191800878</v>
      </c>
    </row>
    <row r="31" spans="1:27">
      <c r="A31" s="119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280</v>
      </c>
      <c r="B31" s="120">
        <f t="shared" si="3"/>
        <v>10022</v>
      </c>
      <c r="C31" s="121">
        <f t="shared" si="0"/>
        <v>70.73</v>
      </c>
      <c r="D31" s="191" t="s">
        <v>14</v>
      </c>
      <c r="E31" s="192">
        <f>IF(H30="AFIII",VLOOKUP($D31,Sheet1!$A$34:$K$48,5,FALSE),IF(H30="UBIII",VLOOKUP($D31,Sheet1!$A$34:$K$48,8,FALSE),VLOOKUP($D31,Sheet1!$A$34:$K$48,2,FALSE)))</f>
        <v>2.86</v>
      </c>
      <c r="F31" s="192">
        <f>ROUNDDOWN((IF(H30="AFIII",VLOOKUP($D31,Sheet1!$A$34:$K$48,5,FALSE),IF(H30="UBIII",VLOOKUP($D31,Sheet1!$A$34:$K$48,8,FALSE),VLOOKUP($D31,Sheet1!$A$34:$K$48,2,FALSE))))*0.85,2)</f>
        <v>2.4300000000000002</v>
      </c>
      <c r="G31" s="192">
        <f t="shared" si="4"/>
        <v>2.4300000000000002</v>
      </c>
      <c r="H31" s="193" t="s">
        <v>122</v>
      </c>
      <c r="I31" s="192">
        <f>I30-G31</f>
        <v>5.1400000000000006</v>
      </c>
      <c r="J31" s="193"/>
      <c r="K31" s="192">
        <v>20</v>
      </c>
      <c r="L31" s="192">
        <f t="shared" si="11"/>
        <v>37.42</v>
      </c>
      <c r="M31" s="193"/>
      <c r="N31" s="192"/>
      <c r="O31" s="192">
        <f t="shared" si="16"/>
        <v>21.25</v>
      </c>
      <c r="P31" s="193"/>
      <c r="Q31" s="192">
        <f>Q30-G31</f>
        <v>18.57</v>
      </c>
      <c r="R31" s="192">
        <f t="shared" si="14"/>
        <v>23.64</v>
      </c>
      <c r="S31" s="193" t="s">
        <v>217</v>
      </c>
      <c r="T31" s="192">
        <f t="shared" si="19"/>
        <v>25.14</v>
      </c>
      <c r="U31" s="194">
        <f t="shared" si="20"/>
        <v>85.139999999999986</v>
      </c>
      <c r="V31" s="211">
        <f>IF(H30="AFIII",VLOOKUP(D31,Sheet1!$A$4:$H$18,5,FALSE),IF(H30="UBIII",VLOOKUP(D31,Sheet1!$A$4:$H$18,8,FALSE),IF(H30="",VLOOKUP(D31,Sheet1!$A$4:$H$18,2,FALSE),"0")))</f>
        <v>884</v>
      </c>
      <c r="W31" s="211">
        <f t="shared" si="5"/>
        <v>7033</v>
      </c>
      <c r="X31" s="212">
        <f t="shared" si="6"/>
        <v>10622</v>
      </c>
      <c r="Y31" s="195" t="str">
        <f t="shared" si="1"/>
        <v>SUCCESS</v>
      </c>
      <c r="Z31" s="195" t="str">
        <f t="shared" si="2"/>
        <v>SUCCESS</v>
      </c>
      <c r="AA31" s="185">
        <f t="shared" si="7"/>
        <v>141.69376502191432</v>
      </c>
    </row>
    <row r="32" spans="1:27">
      <c r="A32" s="11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168</v>
      </c>
      <c r="B32" s="113">
        <f t="shared" si="3"/>
        <v>10190</v>
      </c>
      <c r="C32" s="118">
        <f t="shared" si="0"/>
        <v>72.760000000000005</v>
      </c>
      <c r="D32" s="181" t="s">
        <v>3</v>
      </c>
      <c r="E32" s="182">
        <f>IF(H31="AFIII",VLOOKUP($D32,Sheet1!$A$34:$K$48,5,FALSE),IF(H31="UBIII",VLOOKUP($D32,Sheet1!$A$34:$K$48,8,FALSE),VLOOKUP($D32,Sheet1!$A$34:$K$48,2,FALSE)))</f>
        <v>1.67</v>
      </c>
      <c r="F32" s="182">
        <f>ROUNDDOWN((IF(H31="AFIII",VLOOKUP($D32,Sheet1!$A$34:$K$48,5,FALSE),IF(H31="UBIII",VLOOKUP($D32,Sheet1!$A$34:$K$48,8,FALSE),VLOOKUP($D32,Sheet1!$A$34:$K$48,2,FALSE))))*0.85,2)</f>
        <v>1.41</v>
      </c>
      <c r="G32" s="182">
        <f t="shared" si="4"/>
        <v>2.0299999999999998</v>
      </c>
      <c r="H32" s="183" t="s">
        <v>84</v>
      </c>
      <c r="I32" s="182">
        <v>10</v>
      </c>
      <c r="K32" s="182">
        <f>K31-G32</f>
        <v>17.97</v>
      </c>
      <c r="L32" s="182">
        <f t="shared" si="11"/>
        <v>35.39</v>
      </c>
      <c r="O32" s="182">
        <f t="shared" si="16"/>
        <v>19.22</v>
      </c>
      <c r="Q32" s="182">
        <f>Q31-G32</f>
        <v>16.54</v>
      </c>
      <c r="R32" s="182">
        <f t="shared" si="14"/>
        <v>21.61</v>
      </c>
      <c r="S32" s="183" t="s">
        <v>217</v>
      </c>
      <c r="T32" s="182">
        <f t="shared" si="19"/>
        <v>23.11</v>
      </c>
      <c r="U32" s="184">
        <f t="shared" si="20"/>
        <v>83.109999999999985</v>
      </c>
      <c r="V32" s="201">
        <f>IF(H31="AFIII",VLOOKUP(D32,Sheet1!$A$4:$H$18,5,FALSE),IF(H31="UBIII",VLOOKUP(D32,Sheet1!$A$4:$H$18,8,FALSE),IF(H31="",VLOOKUP(D32,Sheet1!$A$4:$H$18,2,FALSE),"0")))</f>
        <v>442</v>
      </c>
      <c r="W32" s="201">
        <f t="shared" si="5"/>
        <v>7033</v>
      </c>
      <c r="X32" s="208">
        <f t="shared" si="6"/>
        <v>11064</v>
      </c>
      <c r="Y32" s="171" t="str">
        <f t="shared" si="1"/>
        <v>SUCCESS</v>
      </c>
      <c r="Z32" s="171" t="str">
        <f t="shared" si="2"/>
        <v>SUCCESS</v>
      </c>
      <c r="AA32" s="185">
        <f t="shared" si="7"/>
        <v>140.04947773501922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504</v>
      </c>
      <c r="B33" s="113">
        <f t="shared" si="3"/>
        <v>10694</v>
      </c>
      <c r="C33" s="118">
        <f t="shared" si="0"/>
        <v>75.190000000000012</v>
      </c>
      <c r="D33" s="181" t="s">
        <v>5</v>
      </c>
      <c r="E33" s="182">
        <f>IF(H32="AFIII",VLOOKUP($D33,Sheet1!$A$34:$K$48,5,FALSE),IF(H32="UBIII",VLOOKUP($D33,Sheet1!$A$34:$K$48,8,FALSE),VLOOKUP($D33,Sheet1!$A$34:$K$48,2,FALSE)))</f>
        <v>2.86</v>
      </c>
      <c r="F33" s="182">
        <f>ROUNDDOWN((IF(H32="AFIII",VLOOKUP($D33,Sheet1!$A$34:$K$48,5,FALSE),IF(H32="UBIII",VLOOKUP($D33,Sheet1!$A$34:$K$48,8,FALSE),VLOOKUP($D33,Sheet1!$A$34:$K$48,2,FALSE))))*0.85,2)</f>
        <v>2.4300000000000002</v>
      </c>
      <c r="G33" s="182">
        <f t="shared" si="4"/>
        <v>2.4300000000000002</v>
      </c>
      <c r="H33" s="183" t="s">
        <v>84</v>
      </c>
      <c r="I33" s="182">
        <f>I32-G33</f>
        <v>7.57</v>
      </c>
      <c r="K33" s="182">
        <f t="shared" ref="K33:K36" si="21">K32-G33</f>
        <v>15.54</v>
      </c>
      <c r="L33" s="182">
        <f t="shared" si="11"/>
        <v>32.96</v>
      </c>
      <c r="O33" s="182">
        <f t="shared" si="16"/>
        <v>16.79</v>
      </c>
      <c r="Q33" s="182">
        <f t="shared" ref="Q33:Q36" si="22">Q32-G33</f>
        <v>14.11</v>
      </c>
      <c r="R33" s="182">
        <f t="shared" si="14"/>
        <v>19.18</v>
      </c>
      <c r="S33" s="183" t="s">
        <v>217</v>
      </c>
      <c r="T33" s="182">
        <f t="shared" ref="T33:T42" si="23">T32-G33</f>
        <v>20.68</v>
      </c>
      <c r="U33" s="184">
        <f t="shared" ref="U33:U44" si="24">U32-G33</f>
        <v>80.679999999999978</v>
      </c>
      <c r="V33" s="201">
        <f>IF(H32="AFIII",VLOOKUP(D33,Sheet1!$A$4:$H$18,5,FALSE),IF(H32="UBIII",VLOOKUP(D33,Sheet1!$A$4:$H$18,8,FALSE),IF(H32="",VLOOKUP(D33,Sheet1!$A$4:$H$18,2,FALSE),"0")))</f>
        <v>1768</v>
      </c>
      <c r="W33" s="201">
        <f t="shared" si="5"/>
        <v>0</v>
      </c>
      <c r="X33" s="208">
        <f t="shared" si="6"/>
        <v>9296</v>
      </c>
      <c r="Y33" s="171" t="str">
        <f t="shared" si="1"/>
        <v>SUCCESS</v>
      </c>
      <c r="Z33" s="171" t="str">
        <f t="shared" si="2"/>
        <v>SUCCESS</v>
      </c>
      <c r="AA33" s="185">
        <f t="shared" si="7"/>
        <v>142.22635988828299</v>
      </c>
    </row>
    <row r="34" spans="1:27">
      <c r="A34" s="11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504</v>
      </c>
      <c r="B34" s="113">
        <f t="shared" si="3"/>
        <v>11198</v>
      </c>
      <c r="C34" s="118">
        <f t="shared" si="0"/>
        <v>77.620000000000019</v>
      </c>
      <c r="D34" s="181" t="s">
        <v>5</v>
      </c>
      <c r="E34" s="182">
        <f>IF(H33="AFIII",VLOOKUP($D34,Sheet1!$A$34:$K$48,5,FALSE),IF(H33="UBIII",VLOOKUP($D34,Sheet1!$A$34:$K$48,8,FALSE),VLOOKUP($D34,Sheet1!$A$34:$K$48,2,FALSE)))</f>
        <v>2.86</v>
      </c>
      <c r="F34" s="182">
        <f>ROUNDDOWN((IF(H33="AFIII",VLOOKUP($D34,Sheet1!$A$34:$K$48,5,FALSE),IF(H33="UBIII",VLOOKUP($D34,Sheet1!$A$34:$K$48,8,FALSE),VLOOKUP($D34,Sheet1!$A$34:$K$48,2,FALSE))))*0.85,2)</f>
        <v>2.4300000000000002</v>
      </c>
      <c r="G34" s="182">
        <f t="shared" si="4"/>
        <v>2.4300000000000002</v>
      </c>
      <c r="H34" s="183" t="s">
        <v>84</v>
      </c>
      <c r="I34" s="182">
        <f t="shared" ref="I34" si="25">I33-G34</f>
        <v>5.1400000000000006</v>
      </c>
      <c r="K34" s="182">
        <f t="shared" si="21"/>
        <v>13.11</v>
      </c>
      <c r="L34" s="182">
        <f t="shared" si="11"/>
        <v>30.53</v>
      </c>
      <c r="O34" s="182">
        <f t="shared" si="16"/>
        <v>14.36</v>
      </c>
      <c r="Q34" s="182">
        <f t="shared" si="22"/>
        <v>11.68</v>
      </c>
      <c r="R34" s="182">
        <f t="shared" si="14"/>
        <v>16.75</v>
      </c>
      <c r="S34" s="183" t="s">
        <v>217</v>
      </c>
      <c r="T34" s="182">
        <f t="shared" si="23"/>
        <v>18.25</v>
      </c>
      <c r="U34" s="184">
        <f t="shared" si="24"/>
        <v>78.249999999999972</v>
      </c>
      <c r="V34" s="201">
        <f>IF(H33="AFIII",VLOOKUP(D34,Sheet1!$A$4:$H$18,5,FALSE),IF(H33="UBIII",VLOOKUP(D34,Sheet1!$A$4:$H$18,8,FALSE),IF(H33="",VLOOKUP(D34,Sheet1!$A$4:$H$18,2,FALSE),"0")))</f>
        <v>1768</v>
      </c>
      <c r="W34" s="201">
        <f t="shared" si="5"/>
        <v>0</v>
      </c>
      <c r="X34" s="208">
        <f t="shared" si="6"/>
        <v>7528</v>
      </c>
      <c r="Y34" s="171" t="str">
        <f t="shared" si="1"/>
        <v>SUCCESS</v>
      </c>
      <c r="Z34" s="171" t="str">
        <f t="shared" si="2"/>
        <v>SUCCESS</v>
      </c>
      <c r="AA34" s="185">
        <f t="shared" si="7"/>
        <v>144.26694150992009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324</v>
      </c>
      <c r="B35" s="113">
        <f t="shared" si="3"/>
        <v>11522</v>
      </c>
      <c r="C35" s="118">
        <f t="shared" si="0"/>
        <v>79.65000000000002</v>
      </c>
      <c r="D35" s="181" t="s">
        <v>222</v>
      </c>
      <c r="E35" s="182">
        <f>IF(H34="AFIII",VLOOKUP($D35,Sheet1!$A$34:$K$48,5,FALSE),IF(H34="UBIII",VLOOKUP($D35,Sheet1!$A$34:$K$48,8,FALSE),VLOOKUP($D35,Sheet1!$A$34:$K$48,2,FALSE)))</f>
        <v>2.39</v>
      </c>
      <c r="F35" s="182">
        <f>ROUNDDOWN((IF(H34="AFIII",VLOOKUP($D35,Sheet1!$A$34:$K$48,5,FALSE),IF(H34="UBIII",VLOOKUP($D35,Sheet1!$A$34:$K$48,8,FALSE),VLOOKUP($D35,Sheet1!$A$34:$K$48,2,FALSE))))*0.85,2)</f>
        <v>2.0299999999999998</v>
      </c>
      <c r="G35" s="182">
        <f t="shared" si="4"/>
        <v>2.0299999999999998</v>
      </c>
      <c r="H35" s="183" t="s">
        <v>84</v>
      </c>
      <c r="I35" s="182">
        <v>10</v>
      </c>
      <c r="K35" s="182">
        <f t="shared" si="21"/>
        <v>11.08</v>
      </c>
      <c r="L35" s="182">
        <f t="shared" si="11"/>
        <v>28.5</v>
      </c>
      <c r="O35" s="182">
        <f t="shared" si="16"/>
        <v>12.33</v>
      </c>
      <c r="Q35" s="182">
        <f t="shared" si="22"/>
        <v>9.65</v>
      </c>
      <c r="R35" s="182">
        <f>R34-G35</f>
        <v>14.72</v>
      </c>
      <c r="S35" s="183" t="s">
        <v>217</v>
      </c>
      <c r="T35" s="182">
        <f t="shared" si="23"/>
        <v>16.22</v>
      </c>
      <c r="U35" s="184">
        <f t="shared" si="24"/>
        <v>76.21999999999997</v>
      </c>
      <c r="V35" s="201">
        <f>IF(H34="AFIII",VLOOKUP(D35,Sheet1!$A$4:$H$18,5,FALSE),IF(H34="UBIII",VLOOKUP(D35,Sheet1!$A$4:$H$18,8,FALSE),IF(H34="",VLOOKUP(D35,Sheet1!$A$4:$H$18,2,FALSE),"0")))</f>
        <v>2120</v>
      </c>
      <c r="W35" s="201">
        <f t="shared" si="5"/>
        <v>0</v>
      </c>
      <c r="X35" s="208">
        <f t="shared" si="6"/>
        <v>5408</v>
      </c>
      <c r="Y35" s="171" t="str">
        <f t="shared" si="1"/>
        <v>SUCCESS</v>
      </c>
      <c r="Z35" s="171" t="str">
        <f t="shared" si="2"/>
        <v>SUCCESS</v>
      </c>
      <c r="AA35" s="185">
        <f t="shared" si="7"/>
        <v>144.65787821720022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3"/>
        <v>12026</v>
      </c>
      <c r="C36" s="118">
        <f t="shared" si="0"/>
        <v>82.080000000000027</v>
      </c>
      <c r="D36" s="181" t="s">
        <v>6</v>
      </c>
      <c r="E36" s="182">
        <f>IF(H35="AFIII",VLOOKUP($D36,Sheet1!$A$34:$K$48,5,FALSE),IF(H35="UBIII",VLOOKUP($D36,Sheet1!$A$34:$K$48,8,FALSE),VLOOKUP($D36,Sheet1!$A$34:$K$48,2,FALSE)))</f>
        <v>2.86</v>
      </c>
      <c r="F36" s="182">
        <f>ROUNDDOWN((IF(H35="AFIII",VLOOKUP($D36,Sheet1!$A$34:$K$48,5,FALSE),IF(H35="UBIII",VLOOKUP($D36,Sheet1!$A$34:$K$48,8,FALSE),VLOOKUP($D36,Sheet1!$A$34:$K$48,2,FALSE))))*0.85,2)</f>
        <v>2.4300000000000002</v>
      </c>
      <c r="G36" s="182">
        <f t="shared" si="4"/>
        <v>2.4300000000000002</v>
      </c>
      <c r="H36" s="183" t="s">
        <v>84</v>
      </c>
      <c r="I36" s="182">
        <f>I35-G36</f>
        <v>7.57</v>
      </c>
      <c r="K36" s="182">
        <f t="shared" si="21"/>
        <v>8.65</v>
      </c>
      <c r="L36" s="182">
        <f t="shared" si="11"/>
        <v>26.07</v>
      </c>
      <c r="O36" s="182">
        <f t="shared" si="16"/>
        <v>9.9</v>
      </c>
      <c r="Q36" s="182">
        <f t="shared" si="22"/>
        <v>7.2200000000000006</v>
      </c>
      <c r="R36" s="182">
        <f t="shared" si="14"/>
        <v>12.290000000000001</v>
      </c>
      <c r="S36" s="183" t="s">
        <v>217</v>
      </c>
      <c r="T36" s="182">
        <f t="shared" si="23"/>
        <v>13.79</v>
      </c>
      <c r="U36" s="184">
        <f t="shared" si="24"/>
        <v>73.789999999999964</v>
      </c>
      <c r="V36" s="201">
        <f>IF(H35="AFIII",VLOOKUP(D36,Sheet1!$A$4:$H$18,5,FALSE),IF(H35="UBIII",VLOOKUP(D36,Sheet1!$A$4:$H$18,8,FALSE),IF(H35="",VLOOKUP(D36,Sheet1!$A$4:$H$18,2,FALSE),"0")))</f>
        <v>1768</v>
      </c>
      <c r="W36" s="201">
        <f t="shared" si="5"/>
        <v>0</v>
      </c>
      <c r="X36" s="208">
        <f t="shared" si="6"/>
        <v>3640</v>
      </c>
      <c r="Y36" s="171" t="str">
        <f t="shared" si="1"/>
        <v>SUCCESS</v>
      </c>
      <c r="Z36" s="171" t="str">
        <f t="shared" si="2"/>
        <v>SUCCESS</v>
      </c>
      <c r="AA36" s="185">
        <f t="shared" si="7"/>
        <v>146.51559454191027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504</v>
      </c>
      <c r="B37" s="113">
        <f t="shared" ref="B37" si="26">B36+A37</f>
        <v>12530</v>
      </c>
      <c r="C37" s="118">
        <f t="shared" ref="C37" si="27">C36+G37</f>
        <v>84.510000000000034</v>
      </c>
      <c r="D37" s="181" t="s">
        <v>6</v>
      </c>
      <c r="E37" s="182">
        <f>IF(H36="AFIII",VLOOKUP($D37,Sheet1!$A$34:$K$48,5,FALSE),IF(H36="UBIII",VLOOKUP($D37,Sheet1!$A$34:$K$48,8,FALSE),VLOOKUP($D37,Sheet1!$A$34:$K$48,2,FALSE)))</f>
        <v>2.86</v>
      </c>
      <c r="F37" s="182">
        <f>ROUNDDOWN((IF(H36="AFIII",VLOOKUP($D37,Sheet1!$A$34:$K$48,5,FALSE),IF(H36="UBIII",VLOOKUP($D37,Sheet1!$A$34:$K$48,8,FALSE),VLOOKUP($D37,Sheet1!$A$34:$K$48,2,FALSE))))*0.85,2)</f>
        <v>2.4300000000000002</v>
      </c>
      <c r="G37" s="182">
        <f t="shared" ref="G37" si="28">IF(M36="迅速",IF(S36="黒魔紋",$F$1,$E$1),IF(S36="黒魔紋",IF(F37&lt;$F$1,$F$1,F37),IF(E37&lt;$E$1,$E$1,E37)))</f>
        <v>2.4300000000000002</v>
      </c>
      <c r="H37" s="183" t="s">
        <v>84</v>
      </c>
      <c r="I37" s="182">
        <f>I36-G37</f>
        <v>5.1400000000000006</v>
      </c>
      <c r="K37" s="182">
        <f t="shared" ref="K37" si="29">K36-G37</f>
        <v>6.2200000000000006</v>
      </c>
      <c r="L37" s="182">
        <f t="shared" ref="L37" si="30">L36-G37</f>
        <v>23.64</v>
      </c>
      <c r="O37" s="182">
        <f t="shared" ref="O37" si="31">O36-G37</f>
        <v>7.4700000000000006</v>
      </c>
      <c r="Q37" s="182">
        <f t="shared" ref="Q37" si="32">Q36-G37</f>
        <v>4.7900000000000009</v>
      </c>
      <c r="R37" s="182">
        <f t="shared" ref="R37" si="33">R36-G37</f>
        <v>9.8600000000000012</v>
      </c>
      <c r="S37" s="183" t="s">
        <v>217</v>
      </c>
      <c r="T37" s="182">
        <f t="shared" si="23"/>
        <v>11.36</v>
      </c>
      <c r="U37" s="184">
        <f t="shared" si="24"/>
        <v>71.359999999999957</v>
      </c>
      <c r="V37" s="201">
        <f>IF(H36="AFIII",VLOOKUP(D37,Sheet1!$A$4:$H$18,5,FALSE),IF(H36="UBIII",VLOOKUP(D37,Sheet1!$A$4:$H$18,8,FALSE),IF(H36="",VLOOKUP(D37,Sheet1!$A$4:$H$18,2,FALSE),"0")))</f>
        <v>1768</v>
      </c>
      <c r="W37" s="201">
        <f t="shared" ref="W37" si="34">IF(H36="UBIII",$X$2,0)</f>
        <v>0</v>
      </c>
      <c r="X37" s="208">
        <f t="shared" ref="X37" si="35">IF(D37="フレア",IF(M37="コンバート",$X$1,0),IF(X36-V37+W37&gt;$X$3,$X$3-V37,X36-V37+W37))</f>
        <v>1872</v>
      </c>
      <c r="Y37" s="171" t="str">
        <f t="shared" ref="Y37" si="36">IF(X36-V37&lt;0,"ERROR","SUCCESS")</f>
        <v>SUCCESS</v>
      </c>
      <c r="Z37" s="171" t="str">
        <f t="shared" ref="Z37" si="37">IF(K36-G37&lt;0,"ERROR","SUCCESS")</f>
        <v>SUCCESS</v>
      </c>
      <c r="AA37" s="185">
        <f t="shared" ref="AA37" si="38">B37/C37</f>
        <v>148.26647733995972</v>
      </c>
    </row>
    <row r="38" spans="1:27">
      <c r="A38" s="112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168</v>
      </c>
      <c r="B38" s="113">
        <f t="shared" ref="B38:B72" si="39">B37+A38</f>
        <v>12698</v>
      </c>
      <c r="C38" s="118">
        <f t="shared" ref="C38:C46" si="40">C37+G38</f>
        <v>86.540000000000035</v>
      </c>
      <c r="D38" s="181" t="s">
        <v>12</v>
      </c>
      <c r="E38" s="182">
        <f>IF(H37="AFIII",VLOOKUP($D38,Sheet1!$A$34:$K$48,5,FALSE),IF(H37="UBIII",VLOOKUP($D38,Sheet1!$A$34:$K$48,8,FALSE),VLOOKUP($D38,Sheet1!$A$34:$K$48,2,FALSE)))</f>
        <v>1.67</v>
      </c>
      <c r="F38" s="182">
        <f>ROUNDDOWN((IF(H37="AFIII",VLOOKUP($D38,Sheet1!$A$34:$K$48,5,FALSE),IF(H37="UBIII",VLOOKUP($D38,Sheet1!$A$34:$K$48,8,FALSE),VLOOKUP($D38,Sheet1!$A$34:$K$48,2,FALSE))))*0.85,2)</f>
        <v>1.41</v>
      </c>
      <c r="G38" s="182">
        <f t="shared" ref="G38" si="41">IF(M37="迅速",IF(S37="黒魔紋",$F$1,$E$1),IF(S37="黒魔紋",IF(F38&lt;$F$1,$F$1,F38),IF(E38&lt;$E$1,$E$1,E38)))</f>
        <v>2.0299999999999998</v>
      </c>
      <c r="H38" s="183" t="s">
        <v>122</v>
      </c>
      <c r="I38" s="182">
        <v>10</v>
      </c>
      <c r="K38" s="182">
        <f t="shared" ref="K38" si="42">K37-G38</f>
        <v>4.1900000000000013</v>
      </c>
      <c r="L38" s="182">
        <f t="shared" ref="L38:L47" si="43">L37-G38</f>
        <v>21.61</v>
      </c>
      <c r="O38" s="182">
        <f>O37-G38</f>
        <v>5.4400000000000013</v>
      </c>
      <c r="Q38" s="182">
        <f t="shared" ref="Q38:Q39" si="44">Q37-G38</f>
        <v>2.7600000000000011</v>
      </c>
      <c r="R38" s="182">
        <f t="shared" ref="R38:R40" si="45">R37-G38</f>
        <v>7.8300000000000018</v>
      </c>
      <c r="S38" s="183" t="s">
        <v>217</v>
      </c>
      <c r="T38" s="182">
        <f t="shared" si="23"/>
        <v>9.33</v>
      </c>
      <c r="U38" s="184">
        <f t="shared" si="24"/>
        <v>69.329999999999956</v>
      </c>
      <c r="V38" s="201">
        <f>IF(H37="AFIII",VLOOKUP(D38,Sheet1!$A$4:$H$18,5,FALSE),IF(H37="UBIII",VLOOKUP(D38,Sheet1!$A$4:$H$18,8,FALSE),IF(H37="",VLOOKUP(D38,Sheet1!$A$4:$H$18,2,FALSE),"0")))</f>
        <v>265</v>
      </c>
      <c r="W38" s="201">
        <f t="shared" ref="W38" si="46">IF(H37="UBIII",$X$2,0)</f>
        <v>0</v>
      </c>
      <c r="X38" s="208">
        <f t="shared" ref="X38:X59" si="47">IF(D38="フレア",IF(M38="コンバート",$X$1,0),IF(X37-V38+W38&gt;$X$3,$X$3-V38,X37-V38+W38))</f>
        <v>1607</v>
      </c>
      <c r="Y38" s="171" t="str">
        <f t="shared" ref="Y38" si="48">IF(X37-V38&lt;0,"ERROR","SUCCESS")</f>
        <v>SUCCESS</v>
      </c>
      <c r="Z38" s="171" t="str">
        <f t="shared" ref="Z38" si="49">IF(K37-G38&lt;0,"ERROR","SUCCESS")</f>
        <v>SUCCESS</v>
      </c>
      <c r="AA38" s="185">
        <f t="shared" ref="AA38" si="50">B38/C38</f>
        <v>146.72983591402814</v>
      </c>
    </row>
    <row r="39" spans="1:27">
      <c r="A39" s="119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280</v>
      </c>
      <c r="B39" s="120">
        <f t="shared" si="39"/>
        <v>12978</v>
      </c>
      <c r="C39" s="121">
        <f t="shared" si="40"/>
        <v>88.970000000000041</v>
      </c>
      <c r="D39" s="191" t="s">
        <v>14</v>
      </c>
      <c r="E39" s="192">
        <f>IF(H38="AFIII",VLOOKUP($D39,Sheet1!$A$34:$K$48,5,FALSE),IF(H38="UBIII",VLOOKUP($D39,Sheet1!$A$34:$K$48,8,FALSE),VLOOKUP($D39,Sheet1!$A$34:$K$48,2,FALSE)))</f>
        <v>2.86</v>
      </c>
      <c r="F39" s="192">
        <f>ROUNDDOWN((IF(H38="AFIII",VLOOKUP($D39,Sheet1!$A$34:$K$48,5,FALSE),IF(H38="UBIII",VLOOKUP($D39,Sheet1!$A$34:$K$48,8,FALSE),VLOOKUP($D39,Sheet1!$A$34:$K$48,2,FALSE))))*0.85,2)</f>
        <v>2.4300000000000002</v>
      </c>
      <c r="G39" s="192">
        <f t="shared" ref="G39" si="51">IF(M38="迅速",IF(S38="黒魔紋",$F$1,$E$1),IF(S38="黒魔紋",IF(F39&lt;$F$1,$F$1,F39),IF(E39&lt;$E$1,$E$1,E39)))</f>
        <v>2.4300000000000002</v>
      </c>
      <c r="H39" s="193" t="s">
        <v>122</v>
      </c>
      <c r="I39" s="192">
        <f>I38-G39</f>
        <v>7.57</v>
      </c>
      <c r="J39" s="193"/>
      <c r="K39" s="192">
        <v>15</v>
      </c>
      <c r="L39" s="192">
        <f t="shared" si="43"/>
        <v>19.18</v>
      </c>
      <c r="M39" s="193"/>
      <c r="N39" s="192"/>
      <c r="O39" s="192">
        <f t="shared" ref="O39:O41" si="52">O38-G39</f>
        <v>3.0100000000000011</v>
      </c>
      <c r="P39" s="193"/>
      <c r="Q39" s="192">
        <f t="shared" si="44"/>
        <v>0.33000000000000096</v>
      </c>
      <c r="R39" s="192">
        <f t="shared" si="45"/>
        <v>5.4000000000000021</v>
      </c>
      <c r="S39" s="193" t="s">
        <v>217</v>
      </c>
      <c r="T39" s="192">
        <f t="shared" si="23"/>
        <v>6.9</v>
      </c>
      <c r="U39" s="194">
        <f t="shared" si="24"/>
        <v>66.899999999999949</v>
      </c>
      <c r="V39" s="211">
        <f>IF(H38="AFIII",VLOOKUP(D39,Sheet1!$A$4:$H$18,5,FALSE),IF(H38="UBIII",VLOOKUP(D39,Sheet1!$A$4:$H$18,8,FALSE),IF(H38="",VLOOKUP(D39,Sheet1!$A$4:$H$18,2,FALSE),"0")))</f>
        <v>884</v>
      </c>
      <c r="W39" s="211">
        <f t="shared" ref="W39" si="53">IF(H38="UBIII",$X$2,0)</f>
        <v>7033</v>
      </c>
      <c r="X39" s="212">
        <f t="shared" si="47"/>
        <v>7756</v>
      </c>
      <c r="Y39" s="195" t="str">
        <f t="shared" ref="Y39" si="54">IF(X38-V39&lt;0,"ERROR","SUCCESS")</f>
        <v>SUCCESS</v>
      </c>
      <c r="Z39" s="195" t="str">
        <f t="shared" ref="Z39" si="55">IF(K38-G39&lt;0,"ERROR","SUCCESS")</f>
        <v>SUCCESS</v>
      </c>
      <c r="AA39" s="185">
        <f t="shared" ref="AA39" si="56">B39/C39</f>
        <v>145.86939417781267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168</v>
      </c>
      <c r="B40" s="113">
        <f t="shared" si="39"/>
        <v>13146</v>
      </c>
      <c r="C40" s="118">
        <f t="shared" si="40"/>
        <v>91.000000000000043</v>
      </c>
      <c r="D40" s="181" t="s">
        <v>4</v>
      </c>
      <c r="E40" s="182">
        <f>IF(H39="AFIII",VLOOKUP($D40,Sheet1!$A$34:$K$48,5,FALSE),IF(H39="UBIII",VLOOKUP($D40,Sheet1!$A$34:$K$48,8,FALSE),VLOOKUP($D40,Sheet1!$A$34:$K$48,2,FALSE)))</f>
        <v>1.67</v>
      </c>
      <c r="F40" s="182">
        <f>ROUNDDOWN((IF(H39="AFIII",VLOOKUP($D40,Sheet1!$A$34:$K$48,5,FALSE),IF(H39="UBIII",VLOOKUP($D40,Sheet1!$A$34:$K$48,8,FALSE),VLOOKUP($D40,Sheet1!$A$34:$K$48,2,FALSE))))*0.85,2)</f>
        <v>1.41</v>
      </c>
      <c r="G40" s="182">
        <f t="shared" ref="G40" si="57">IF(M39="迅速",IF(S39="黒魔紋",$F$1,$E$1),IF(S39="黒魔紋",IF(F40&lt;$F$1,$F$1,F40),IF(E40&lt;$E$1,$E$1,E40)))</f>
        <v>2.0299999999999998</v>
      </c>
      <c r="H40" s="183" t="s">
        <v>84</v>
      </c>
      <c r="I40" s="182">
        <v>10</v>
      </c>
      <c r="K40" s="182">
        <f t="shared" ref="K40:K47" si="58">K39-G40</f>
        <v>12.97</v>
      </c>
      <c r="L40" s="182">
        <f t="shared" si="43"/>
        <v>17.149999999999999</v>
      </c>
      <c r="M40" s="183" t="s">
        <v>135</v>
      </c>
      <c r="O40" s="182">
        <f t="shared" si="52"/>
        <v>0.98000000000000131</v>
      </c>
      <c r="R40" s="182">
        <f t="shared" si="45"/>
        <v>3.3700000000000023</v>
      </c>
      <c r="S40" s="183" t="s">
        <v>217</v>
      </c>
      <c r="T40" s="182">
        <f t="shared" si="23"/>
        <v>4.870000000000001</v>
      </c>
      <c r="U40" s="184">
        <f t="shared" si="24"/>
        <v>64.869999999999948</v>
      </c>
      <c r="V40" s="201">
        <f>IF(H39="AFIII",VLOOKUP(D40,Sheet1!$A$4:$H$18,5,FALSE),IF(H39="UBIII",VLOOKUP(D40,Sheet1!$A$4:$H$18,8,FALSE),IF(H39="",VLOOKUP(D40,Sheet1!$A$4:$H$18,2,FALSE),"0")))</f>
        <v>442</v>
      </c>
      <c r="W40" s="201">
        <f t="shared" ref="W40" si="59">IF(H39="UBIII",$X$2,0)</f>
        <v>7033</v>
      </c>
      <c r="X40" s="208">
        <f t="shared" si="47"/>
        <v>11064</v>
      </c>
      <c r="Y40" s="171" t="str">
        <f t="shared" ref="Y40" si="60">IF(X39-V40&lt;0,"ERROR","SUCCESS")</f>
        <v>SUCCESS</v>
      </c>
      <c r="Z40" s="171" t="str">
        <f t="shared" ref="Z40" si="61">IF(K39-G40&lt;0,"ERROR","SUCCESS")</f>
        <v>SUCCESS</v>
      </c>
      <c r="AA40" s="185">
        <f t="shared" ref="AA40" si="62">B40/C40</f>
        <v>144.4615384615384</v>
      </c>
    </row>
    <row r="41" spans="1:27">
      <c r="A41" s="112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504</v>
      </c>
      <c r="B41" s="113">
        <f t="shared" si="39"/>
        <v>13650</v>
      </c>
      <c r="C41" s="118">
        <f t="shared" si="40"/>
        <v>93.430000000000049</v>
      </c>
      <c r="D41" s="181" t="s">
        <v>6</v>
      </c>
      <c r="E41" s="182">
        <f>IF(H40="AFIII",VLOOKUP($D41,Sheet1!$A$34:$K$48,5,FALSE),IF(H40="UBIII",VLOOKUP($D41,Sheet1!$A$34:$K$48,8,FALSE),VLOOKUP($D41,Sheet1!$A$34:$K$48,2,FALSE)))</f>
        <v>2.86</v>
      </c>
      <c r="F41" s="182">
        <f>ROUNDDOWN((IF(H40="AFIII",VLOOKUP($D41,Sheet1!$A$34:$K$48,5,FALSE),IF(H40="UBIII",VLOOKUP($D41,Sheet1!$A$34:$K$48,8,FALSE),VLOOKUP($D41,Sheet1!$A$34:$K$48,2,FALSE))))*0.85,2)</f>
        <v>2.4300000000000002</v>
      </c>
      <c r="G41" s="182">
        <f t="shared" ref="G41" si="63">IF(M40="迅速",IF(S40="黒魔紋",$F$1,$E$1),IF(S40="黒魔紋",IF(F41&lt;$F$1,$F$1,F41),IF(E41&lt;$E$1,$E$1,E41)))</f>
        <v>2.4300000000000002</v>
      </c>
      <c r="H41" s="183" t="s">
        <v>84</v>
      </c>
      <c r="I41" s="182">
        <f>I40-G41</f>
        <v>7.57</v>
      </c>
      <c r="K41" s="182">
        <f t="shared" si="58"/>
        <v>10.540000000000001</v>
      </c>
      <c r="L41" s="182">
        <f t="shared" si="43"/>
        <v>14.719999999999999</v>
      </c>
      <c r="O41" s="182">
        <f t="shared" si="52"/>
        <v>-1.4499999999999988</v>
      </c>
      <c r="P41" s="183" t="s">
        <v>136</v>
      </c>
      <c r="R41" s="182">
        <f>R40-G41</f>
        <v>0.94000000000000217</v>
      </c>
      <c r="S41" s="183" t="s">
        <v>221</v>
      </c>
      <c r="T41" s="182">
        <f t="shared" si="23"/>
        <v>2.4400000000000008</v>
      </c>
      <c r="U41" s="184">
        <f t="shared" si="24"/>
        <v>62.439999999999948</v>
      </c>
      <c r="V41" s="201">
        <f>IF(H40="AFIII",VLOOKUP(D41,Sheet1!$A$4:$H$18,5,FALSE),IF(H40="UBIII",VLOOKUP(D41,Sheet1!$A$4:$H$18,8,FALSE),IF(H40="",VLOOKUP(D41,Sheet1!$A$4:$H$18,2,FALSE),"0")))</f>
        <v>1768</v>
      </c>
      <c r="W41" s="201">
        <f t="shared" ref="W41" si="64">IF(H40="UBIII",$X$2,0)</f>
        <v>0</v>
      </c>
      <c r="X41" s="208">
        <f t="shared" si="47"/>
        <v>9296</v>
      </c>
      <c r="Y41" s="171" t="str">
        <f t="shared" ref="Y41" si="65">IF(X40-V41&lt;0,"ERROR","SUCCESS")</f>
        <v>SUCCESS</v>
      </c>
      <c r="Z41" s="171" t="str">
        <f t="shared" ref="Z41" si="66">IF(K40-G41&lt;0,"ERROR","SUCCESS")</f>
        <v>SUCCESS</v>
      </c>
      <c r="AA41" s="185">
        <f t="shared" ref="AA41" si="67">B41/C41</f>
        <v>146.09868350636833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504</v>
      </c>
      <c r="B42" s="113">
        <f t="shared" si="39"/>
        <v>14154</v>
      </c>
      <c r="C42" s="118">
        <f t="shared" si="40"/>
        <v>95.860000000000056</v>
      </c>
      <c r="D42" s="181" t="s">
        <v>6</v>
      </c>
      <c r="E42" s="182">
        <f>IF(H41="AFIII",VLOOKUP($D42,Sheet1!$A$34:$K$48,5,FALSE),IF(H41="UBIII",VLOOKUP($D42,Sheet1!$A$34:$K$48,8,FALSE),VLOOKUP($D42,Sheet1!$A$34:$K$48,2,FALSE)))</f>
        <v>2.86</v>
      </c>
      <c r="F42" s="182">
        <f>ROUNDDOWN((IF(H41="AFIII",VLOOKUP($D42,Sheet1!$A$34:$K$48,5,FALSE),IF(H41="UBIII",VLOOKUP($D42,Sheet1!$A$34:$K$48,8,FALSE),VLOOKUP($D42,Sheet1!$A$34:$K$48,2,FALSE))))*0.85,2)</f>
        <v>2.4300000000000002</v>
      </c>
      <c r="G42" s="182">
        <f t="shared" ref="G42" si="68">IF(M41="迅速",IF(S41="黒魔紋",$F$1,$E$1),IF(S41="黒魔紋",IF(F42&lt;$F$1,$F$1,F42),IF(E42&lt;$E$1,$E$1,E42)))</f>
        <v>2.4300000000000002</v>
      </c>
      <c r="H42" s="183" t="s">
        <v>84</v>
      </c>
      <c r="I42" s="182">
        <f>I41-G42</f>
        <v>5.1400000000000006</v>
      </c>
      <c r="K42" s="182">
        <f t="shared" si="58"/>
        <v>8.1100000000000012</v>
      </c>
      <c r="L42" s="182">
        <f t="shared" si="43"/>
        <v>12.29</v>
      </c>
      <c r="R42" s="182">
        <f>R41-G42</f>
        <v>-1.489999999999998</v>
      </c>
      <c r="T42" s="182">
        <f t="shared" si="23"/>
        <v>1.0000000000000675E-2</v>
      </c>
      <c r="U42" s="184">
        <f t="shared" si="24"/>
        <v>60.009999999999948</v>
      </c>
      <c r="V42" s="201">
        <f>IF(H41="AFIII",VLOOKUP(D42,Sheet1!$A$4:$H$18,5,FALSE),IF(H41="UBIII",VLOOKUP(D42,Sheet1!$A$4:$H$18,8,FALSE),IF(H41="",VLOOKUP(D42,Sheet1!$A$4:$H$18,2,FALSE),"0")))</f>
        <v>1768</v>
      </c>
      <c r="W42" s="201">
        <f t="shared" ref="W42" si="69">IF(H41="UBIII",$X$2,0)</f>
        <v>0</v>
      </c>
      <c r="X42" s="208">
        <f t="shared" si="47"/>
        <v>7528</v>
      </c>
      <c r="Y42" s="171" t="str">
        <f t="shared" ref="Y42" si="70">IF(X41-V42&lt;0,"ERROR","SUCCESS")</f>
        <v>SUCCESS</v>
      </c>
      <c r="Z42" s="171" t="str">
        <f t="shared" ref="Z42" si="71">IF(K41-G42&lt;0,"ERROR","SUCCESS")</f>
        <v>SUCCESS</v>
      </c>
      <c r="AA42" s="185">
        <f t="shared" ref="AA42" si="72">B42/C42</f>
        <v>147.65282703943242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324</v>
      </c>
      <c r="B43" s="113">
        <f t="shared" si="39"/>
        <v>14478</v>
      </c>
      <c r="C43" s="118">
        <f t="shared" si="40"/>
        <v>98.250000000000057</v>
      </c>
      <c r="D43" s="181" t="s">
        <v>1</v>
      </c>
      <c r="E43" s="182">
        <f>IF(H42="AFIII",VLOOKUP($D43,Sheet1!$A$34:$K$48,5,FALSE),IF(H42="UBIII",VLOOKUP($D43,Sheet1!$A$34:$K$48,8,FALSE),VLOOKUP($D43,Sheet1!$A$34:$K$48,2,FALSE)))</f>
        <v>2.39</v>
      </c>
      <c r="F43" s="182">
        <f>ROUNDDOWN((IF(H42="AFIII",VLOOKUP($D43,Sheet1!$A$34:$K$48,5,FALSE),IF(H42="UBIII",VLOOKUP($D43,Sheet1!$A$34:$K$48,8,FALSE),VLOOKUP($D43,Sheet1!$A$34:$K$48,2,FALSE))))*0.85,2)</f>
        <v>2.0299999999999998</v>
      </c>
      <c r="G43" s="182">
        <f t="shared" ref="G43" si="73">IF(M42="迅速",IF(S42="黒魔紋",$F$1,$E$1),IF(S42="黒魔紋",IF(F43&lt;$F$1,$F$1,F43),IF(E43&lt;$E$1,$E$1,E43)))</f>
        <v>2.39</v>
      </c>
      <c r="H43" s="183" t="s">
        <v>84</v>
      </c>
      <c r="I43" s="182">
        <v>10</v>
      </c>
      <c r="K43" s="182">
        <f t="shared" si="58"/>
        <v>5.7200000000000006</v>
      </c>
      <c r="L43" s="182">
        <f t="shared" si="43"/>
        <v>9.8999999999999986</v>
      </c>
      <c r="U43" s="184">
        <f t="shared" si="24"/>
        <v>57.619999999999948</v>
      </c>
      <c r="V43" s="201">
        <f>IF(H42="AFIII",VLOOKUP(D43,Sheet1!$A$4:$H$18,5,FALSE),IF(H42="UBIII",VLOOKUP(D43,Sheet1!$A$4:$H$18,8,FALSE),IF(H42="",VLOOKUP(D43,Sheet1!$A$4:$H$18,2,FALSE),"0")))</f>
        <v>2120</v>
      </c>
      <c r="W43" s="201">
        <f t="shared" ref="W43" si="74">IF(H42="UBIII",$X$2,0)</f>
        <v>0</v>
      </c>
      <c r="X43" s="208">
        <f t="shared" si="47"/>
        <v>5408</v>
      </c>
      <c r="Y43" s="171" t="str">
        <f t="shared" ref="Y43" si="75">IF(X42-V43&lt;0,"ERROR","SUCCESS")</f>
        <v>SUCCESS</v>
      </c>
      <c r="Z43" s="171" t="str">
        <f t="shared" ref="Z43" si="76">IF(K42-G43&lt;0,"ERROR","SUCCESS")</f>
        <v>SUCCESS</v>
      </c>
      <c r="AA43" s="185">
        <f t="shared" ref="AA43" si="77">B43/C43</f>
        <v>147.3587786259541</v>
      </c>
    </row>
    <row r="44" spans="1:27">
      <c r="A44" s="112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39"/>
        <v>14982</v>
      </c>
      <c r="C44" s="118">
        <f t="shared" si="40"/>
        <v>101.11000000000006</v>
      </c>
      <c r="D44" s="181" t="s">
        <v>6</v>
      </c>
      <c r="E44" s="182">
        <f>IF(H43="AFIII",VLOOKUP($D44,Sheet1!$A$34:$K$48,5,FALSE),IF(H43="UBIII",VLOOKUP($D44,Sheet1!$A$34:$K$48,8,FALSE),VLOOKUP($D44,Sheet1!$A$34:$K$48,2,FALSE)))</f>
        <v>2.86</v>
      </c>
      <c r="F44" s="182">
        <f>ROUNDDOWN((IF(H43="AFIII",VLOOKUP($D44,Sheet1!$A$34:$K$48,5,FALSE),IF(H43="UBIII",VLOOKUP($D44,Sheet1!$A$34:$K$48,8,FALSE),VLOOKUP($D44,Sheet1!$A$34:$K$48,2,FALSE))))*0.85,2)</f>
        <v>2.4300000000000002</v>
      </c>
      <c r="G44" s="182">
        <f t="shared" ref="G44" si="78">IF(M43="迅速",IF(S43="黒魔紋",$F$1,$E$1),IF(S43="黒魔紋",IF(F44&lt;$F$1,$F$1,F44),IF(E44&lt;$E$1,$E$1,E44)))</f>
        <v>2.86</v>
      </c>
      <c r="H44" s="183" t="s">
        <v>84</v>
      </c>
      <c r="I44" s="182">
        <f>I43-G44</f>
        <v>7.1400000000000006</v>
      </c>
      <c r="K44" s="182">
        <f t="shared" si="58"/>
        <v>2.8600000000000008</v>
      </c>
      <c r="L44" s="182">
        <f t="shared" si="43"/>
        <v>7.0399999999999991</v>
      </c>
      <c r="M44" s="183" t="s">
        <v>218</v>
      </c>
      <c r="O44" s="182">
        <v>60</v>
      </c>
      <c r="U44" s="184">
        <f t="shared" si="24"/>
        <v>54.759999999999948</v>
      </c>
      <c r="V44" s="201">
        <f>IF(H43="AFIII",VLOOKUP(D44,Sheet1!$A$4:$H$18,5,FALSE),IF(H43="UBIII",VLOOKUP(D44,Sheet1!$A$4:$H$18,8,FALSE),IF(H43="",VLOOKUP(D44,Sheet1!$A$4:$H$18,2,FALSE),"0")))</f>
        <v>1768</v>
      </c>
      <c r="W44" s="201">
        <f t="shared" ref="W44" si="79">IF(H43="UBIII",$X$2,0)</f>
        <v>0</v>
      </c>
      <c r="X44" s="208">
        <f t="shared" si="47"/>
        <v>3640</v>
      </c>
      <c r="Y44" s="171" t="str">
        <f t="shared" ref="Y44" si="80">IF(X43-V44&lt;0,"ERROR","SUCCESS")</f>
        <v>SUCCESS</v>
      </c>
      <c r="Z44" s="171" t="str">
        <f t="shared" ref="Z44" si="81">IF(K43-G44&lt;0,"ERROR","SUCCESS")</f>
        <v>SUCCESS</v>
      </c>
      <c r="AA44" s="185">
        <f t="shared" ref="AA44" si="82">B44/C44</f>
        <v>148.17525467312819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504</v>
      </c>
      <c r="B45" s="113">
        <f t="shared" si="39"/>
        <v>15486</v>
      </c>
      <c r="C45" s="118">
        <f t="shared" si="40"/>
        <v>103.50000000000006</v>
      </c>
      <c r="D45" s="181" t="s">
        <v>6</v>
      </c>
      <c r="E45" s="182">
        <f>IF(H44="AFIII",VLOOKUP($D45,Sheet1!$A$34:$K$48,5,FALSE),IF(H44="UBIII",VLOOKUP($D45,Sheet1!$A$34:$K$48,8,FALSE),VLOOKUP($D45,Sheet1!$A$34:$K$48,2,FALSE)))</f>
        <v>2.86</v>
      </c>
      <c r="F45" s="182">
        <f>ROUNDDOWN((IF(H44="AFIII",VLOOKUP($D45,Sheet1!$A$34:$K$48,5,FALSE),IF(H44="UBIII",VLOOKUP($D45,Sheet1!$A$34:$K$48,8,FALSE),VLOOKUP($D45,Sheet1!$A$34:$K$48,2,FALSE))))*0.85,2)</f>
        <v>2.4300000000000002</v>
      </c>
      <c r="G45" s="182">
        <f t="shared" ref="G45" si="83">IF(M44="迅速",IF(S44="黒魔紋",$F$1,$E$1),IF(S44="黒魔紋",IF(F45&lt;$F$1,$F$1,F45),IF(E45&lt;$E$1,$E$1,E45)))</f>
        <v>2.39</v>
      </c>
      <c r="H45" s="183" t="s">
        <v>84</v>
      </c>
      <c r="I45" s="182">
        <f t="shared" ref="I45" si="84">I44-G45</f>
        <v>4.75</v>
      </c>
      <c r="K45" s="182">
        <f t="shared" si="58"/>
        <v>0.47000000000000064</v>
      </c>
      <c r="L45" s="182">
        <f t="shared" si="43"/>
        <v>4.6499999999999986</v>
      </c>
      <c r="O45" s="182">
        <f>O44-G45</f>
        <v>57.61</v>
      </c>
      <c r="U45" s="184">
        <f t="shared" ref="U45:U55" si="85">U44-G45</f>
        <v>52.369999999999948</v>
      </c>
      <c r="V45" s="201">
        <f>IF(H44="AFIII",VLOOKUP(D45,Sheet1!$A$4:$H$18,5,FALSE),IF(H44="UBIII",VLOOKUP(D45,Sheet1!$A$4:$H$18,8,FALSE),IF(H44="",VLOOKUP(D45,Sheet1!$A$4:$H$18,2,FALSE),"0")))</f>
        <v>1768</v>
      </c>
      <c r="W45" s="201">
        <f t="shared" ref="W45" si="86">IF(H44="UBIII",$X$2,0)</f>
        <v>0</v>
      </c>
      <c r="X45" s="208">
        <f t="shared" si="47"/>
        <v>1872</v>
      </c>
      <c r="Y45" s="171" t="str">
        <f t="shared" ref="Y45" si="87">IF(X44-V45&lt;0,"ERROR","SUCCESS")</f>
        <v>SUCCESS</v>
      </c>
      <c r="Z45" s="171" t="str">
        <f t="shared" ref="Z45" si="88">IF(K44-G45&lt;0,"ERROR","SUCCESS")</f>
        <v>SUCCESS</v>
      </c>
      <c r="AA45" s="185">
        <f t="shared" ref="AA45" si="89">B45/C45</f>
        <v>149.62318840579701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168</v>
      </c>
      <c r="B46" s="113">
        <f t="shared" si="39"/>
        <v>15654</v>
      </c>
      <c r="C46" s="118">
        <f t="shared" si="40"/>
        <v>105.89000000000006</v>
      </c>
      <c r="D46" s="181" t="s">
        <v>12</v>
      </c>
      <c r="E46" s="182">
        <f>IF(H45="AFIII",VLOOKUP($D46,Sheet1!$A$34:$K$48,5,FALSE),IF(H45="UBIII",VLOOKUP($D46,Sheet1!$A$34:$K$48,8,FALSE),VLOOKUP($D46,Sheet1!$A$34:$K$48,2,FALSE)))</f>
        <v>1.67</v>
      </c>
      <c r="F46" s="182">
        <f>ROUNDDOWN((IF(H45="AFIII",VLOOKUP($D46,Sheet1!$A$34:$K$48,5,FALSE),IF(H45="UBIII",VLOOKUP($D46,Sheet1!$A$34:$K$48,8,FALSE),VLOOKUP($D46,Sheet1!$A$34:$K$48,2,FALSE))))*0.85,2)</f>
        <v>1.41</v>
      </c>
      <c r="G46" s="182">
        <f t="shared" ref="G46" si="90">IF(M45="迅速",IF(S45="黒魔紋",$F$1,$E$1),IF(S45="黒魔紋",IF(F46&lt;$F$1,$F$1,F46),IF(E46&lt;$E$1,$E$1,E46)))</f>
        <v>2.39</v>
      </c>
      <c r="H46" s="183" t="s">
        <v>122</v>
      </c>
      <c r="I46" s="182">
        <v>10</v>
      </c>
      <c r="K46" s="182">
        <f t="shared" si="58"/>
        <v>-1.9199999999999995</v>
      </c>
      <c r="L46" s="182">
        <f t="shared" si="43"/>
        <v>2.2599999999999985</v>
      </c>
      <c r="O46" s="182">
        <f t="shared" ref="O46:O60" si="91">O45-G46</f>
        <v>55.22</v>
      </c>
      <c r="U46" s="184">
        <f t="shared" si="85"/>
        <v>49.979999999999947</v>
      </c>
      <c r="V46" s="201">
        <f>IF(H45="AFIII",VLOOKUP(D46,Sheet1!$A$4:$H$18,5,FALSE),IF(H45="UBIII",VLOOKUP(D46,Sheet1!$A$4:$H$18,8,FALSE),IF(H45="",VLOOKUP(D46,Sheet1!$A$4:$H$18,2,FALSE),"0")))</f>
        <v>265</v>
      </c>
      <c r="W46" s="201">
        <f t="shared" ref="W46" si="92">IF(H45="UBIII",$X$2,0)</f>
        <v>0</v>
      </c>
      <c r="X46" s="208">
        <f t="shared" si="47"/>
        <v>1607</v>
      </c>
      <c r="Y46" s="171" t="str">
        <f t="shared" ref="Y46" si="93">IF(X45-V46&lt;0,"ERROR","SUCCESS")</f>
        <v>SUCCESS</v>
      </c>
      <c r="Z46" s="171" t="str">
        <f t="shared" ref="Z46" si="94">IF(K45-G46&lt;0,"ERROR","SUCCESS")</f>
        <v>ERROR</v>
      </c>
      <c r="AA46" s="185">
        <f t="shared" ref="AA46" si="95">B46/C46</f>
        <v>147.83265653036162</v>
      </c>
    </row>
    <row r="47" spans="1:27">
      <c r="A47" s="12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295</v>
      </c>
      <c r="B47" s="123">
        <f t="shared" si="39"/>
        <v>15949</v>
      </c>
      <c r="C47" s="124">
        <f>C46+G47</f>
        <v>108.75000000000006</v>
      </c>
      <c r="D47" s="186" t="s">
        <v>19</v>
      </c>
      <c r="E47" s="187">
        <f>IF(H46="AFIII",VLOOKUP($D47,Sheet1!$A$34:$K$48,5,FALSE),IF(H46="UBIII",VLOOKUP($D47,Sheet1!$A$34:$K$48,8,FALSE),VLOOKUP($D47,Sheet1!$A$34:$K$48,2,FALSE)))</f>
        <v>2.86</v>
      </c>
      <c r="F47" s="187">
        <f>ROUNDDOWN((IF(H46="AFIII",VLOOKUP($D47,Sheet1!$A$34:$K$48,5,FALSE),IF(H46="UBIII",VLOOKUP($D47,Sheet1!$A$34:$K$48,8,FALSE),VLOOKUP($D47,Sheet1!$A$34:$K$48,2,FALSE))))*0.85,2)</f>
        <v>2.4300000000000002</v>
      </c>
      <c r="G47" s="187">
        <f t="shared" ref="G47" si="96">IF(M46="迅速",IF(S46="黒魔紋",$F$1,$E$1),IF(S46="黒魔紋",IF(F47&lt;$F$1,$F$1,F47),IF(E47&lt;$E$1,$E$1,E47)))</f>
        <v>2.86</v>
      </c>
      <c r="H47" s="188" t="s">
        <v>122</v>
      </c>
      <c r="I47" s="187">
        <f>I46-G47</f>
        <v>7.1400000000000006</v>
      </c>
      <c r="J47" s="188" t="s">
        <v>138</v>
      </c>
      <c r="K47" s="187">
        <f t="shared" si="58"/>
        <v>-4.7799999999999994</v>
      </c>
      <c r="L47" s="187">
        <f t="shared" si="43"/>
        <v>-0.60000000000000142</v>
      </c>
      <c r="M47" s="188"/>
      <c r="N47" s="187"/>
      <c r="O47" s="187">
        <f t="shared" si="91"/>
        <v>52.36</v>
      </c>
      <c r="P47" s="188" t="s">
        <v>17</v>
      </c>
      <c r="Q47" s="187">
        <v>21</v>
      </c>
      <c r="R47" s="187"/>
      <c r="S47" s="188"/>
      <c r="T47" s="187"/>
      <c r="U47" s="189">
        <f t="shared" si="85"/>
        <v>47.119999999999948</v>
      </c>
      <c r="V47" s="209">
        <f>IF(H46="AFIII",VLOOKUP(D47,Sheet1!$A$4:$H$18,5,FALSE),IF(H46="UBIII",VLOOKUP(D47,Sheet1!$A$4:$H$18,8,FALSE),IF(H46="",VLOOKUP(D47,Sheet1!$A$4:$H$18,2,FALSE),"0")))</f>
        <v>1060</v>
      </c>
      <c r="W47" s="209">
        <f t="shared" ref="W47" si="97">IF(H46="UBIII",$X$2,0)</f>
        <v>7033</v>
      </c>
      <c r="X47" s="210">
        <f t="shared" si="47"/>
        <v>7580</v>
      </c>
      <c r="Y47" s="190" t="str">
        <f t="shared" ref="Y47" si="98">IF(X46-V47&lt;0,"ERROR","SUCCESS")</f>
        <v>SUCCESS</v>
      </c>
      <c r="Z47" s="190" t="str">
        <f t="shared" ref="Z47" si="99">IF(K46-G47&lt;0,"ERROR","SUCCESS")</f>
        <v>ERROR</v>
      </c>
      <c r="AA47" s="185">
        <f t="shared" ref="AA47" si="100">B47/C47</f>
        <v>146.65747126436773</v>
      </c>
    </row>
    <row r="48" spans="1:27">
      <c r="A48" s="11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168</v>
      </c>
      <c r="B48" s="113">
        <f t="shared" si="39"/>
        <v>16117</v>
      </c>
      <c r="C48" s="118">
        <f>C47+G48</f>
        <v>111.14000000000006</v>
      </c>
      <c r="D48" s="181" t="s">
        <v>4</v>
      </c>
      <c r="E48" s="182">
        <f>IF(H47="AFIII",VLOOKUP($D48,Sheet1!$A$34:$K$48,5,FALSE),IF(H47="UBIII",VLOOKUP($D48,Sheet1!$A$34:$K$48,8,FALSE),VLOOKUP($D48,Sheet1!$A$34:$K$48,2,FALSE)))</f>
        <v>1.67</v>
      </c>
      <c r="F48" s="182">
        <f>ROUNDDOWN((IF(H47="AFIII",VLOOKUP($D48,Sheet1!$A$34:$K$48,5,FALSE),IF(H47="UBIII",VLOOKUP($D48,Sheet1!$A$34:$K$48,8,FALSE),VLOOKUP($D48,Sheet1!$A$34:$K$48,2,FALSE))))*0.85,2)</f>
        <v>1.41</v>
      </c>
      <c r="G48" s="182">
        <f t="shared" ref="G48" si="101">IF(M47="迅速",IF(S47="黒魔紋",$F$1,$E$1),IF(S47="黒魔紋",IF(F48&lt;$F$1,$F$1,F48),IF(E48&lt;$E$1,$E$1,E48)))</f>
        <v>2.39</v>
      </c>
      <c r="H48" s="183" t="s">
        <v>84</v>
      </c>
      <c r="I48" s="182">
        <v>10</v>
      </c>
      <c r="J48" s="183" t="s">
        <v>105</v>
      </c>
      <c r="K48" s="182">
        <v>30</v>
      </c>
      <c r="L48" s="182">
        <v>90</v>
      </c>
      <c r="O48" s="182">
        <f t="shared" si="91"/>
        <v>49.97</v>
      </c>
      <c r="Q48" s="182">
        <f t="shared" ref="Q48:Q55" si="102">Q47-G48</f>
        <v>18.61</v>
      </c>
      <c r="U48" s="184">
        <f t="shared" si="85"/>
        <v>44.729999999999947</v>
      </c>
      <c r="V48" s="201">
        <f>IF(H47="AFIII",VLOOKUP(D48,Sheet1!$A$4:$H$18,5,FALSE),IF(H47="UBIII",VLOOKUP(D48,Sheet1!$A$4:$H$18,8,FALSE),IF(H47="",VLOOKUP(D48,Sheet1!$A$4:$H$18,2,FALSE),"0")))</f>
        <v>442</v>
      </c>
      <c r="W48" s="201">
        <f t="shared" ref="W48" si="103">IF(H47="UBIII",$X$2,0)</f>
        <v>7033</v>
      </c>
      <c r="X48" s="208">
        <f t="shared" si="47"/>
        <v>11064</v>
      </c>
      <c r="Y48" s="171" t="str">
        <f t="shared" ref="Y48" si="104">IF(X47-V48&lt;0,"ERROR","SUCCESS")</f>
        <v>SUCCESS</v>
      </c>
      <c r="Z48" s="171" t="str">
        <f t="shared" ref="Z48" si="105">IF(K47-G48&lt;0,"ERROR","SUCCESS")</f>
        <v>ERROR</v>
      </c>
      <c r="AA48" s="185">
        <f t="shared" ref="AA48" si="106">B48/C48</f>
        <v>145.01529602303393</v>
      </c>
    </row>
    <row r="49" spans="1:27">
      <c r="A49" s="112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504</v>
      </c>
      <c r="B49" s="113">
        <f t="shared" si="39"/>
        <v>16621</v>
      </c>
      <c r="C49" s="118">
        <f>C48+G49</f>
        <v>114.00000000000006</v>
      </c>
      <c r="D49" s="181" t="s">
        <v>6</v>
      </c>
      <c r="E49" s="182">
        <f>IF(H48="AFIII",VLOOKUP($D49,Sheet1!$A$34:$K$48,5,FALSE),IF(H48="UBIII",VLOOKUP($D49,Sheet1!$A$34:$K$48,8,FALSE),VLOOKUP($D49,Sheet1!$A$34:$K$48,2,FALSE)))</f>
        <v>2.86</v>
      </c>
      <c r="F49" s="182">
        <f>ROUNDDOWN((IF(H48="AFIII",VLOOKUP($D49,Sheet1!$A$34:$K$48,5,FALSE),IF(H48="UBIII",VLOOKUP($D49,Sheet1!$A$34:$K$48,8,FALSE),VLOOKUP($D49,Sheet1!$A$34:$K$48,2,FALSE))))*0.85,2)</f>
        <v>2.4300000000000002</v>
      </c>
      <c r="G49" s="182">
        <f t="shared" ref="G49" si="107">IF(M48="迅速",IF(S48="黒魔紋",$F$1,$E$1),IF(S48="黒魔紋",IF(F49&lt;$F$1,$F$1,F49),IF(E49&lt;$E$1,$E$1,E49)))</f>
        <v>2.86</v>
      </c>
      <c r="H49" s="183" t="s">
        <v>84</v>
      </c>
      <c r="I49" s="182">
        <f>I48-G49</f>
        <v>7.1400000000000006</v>
      </c>
      <c r="K49" s="182">
        <f>K48-G49</f>
        <v>27.14</v>
      </c>
      <c r="L49" s="182">
        <f>L48-G49</f>
        <v>87.14</v>
      </c>
      <c r="O49" s="182">
        <f t="shared" si="91"/>
        <v>47.11</v>
      </c>
      <c r="Q49" s="182">
        <f t="shared" si="102"/>
        <v>15.75</v>
      </c>
      <c r="U49" s="184">
        <f t="shared" si="85"/>
        <v>41.869999999999948</v>
      </c>
      <c r="V49" s="201">
        <f>IF(H48="AFIII",VLOOKUP(D49,Sheet1!$A$4:$H$18,5,FALSE),IF(H48="UBIII",VLOOKUP(D49,Sheet1!$A$4:$H$18,8,FALSE),IF(H48="",VLOOKUP(D49,Sheet1!$A$4:$H$18,2,FALSE),"0")))</f>
        <v>1768</v>
      </c>
      <c r="W49" s="201">
        <f t="shared" ref="W49" si="108">IF(H48="UBIII",$X$2,0)</f>
        <v>0</v>
      </c>
      <c r="X49" s="208">
        <f t="shared" si="47"/>
        <v>9296</v>
      </c>
      <c r="Y49" s="171" t="str">
        <f t="shared" ref="Y49" si="109">IF(X48-V49&lt;0,"ERROR","SUCCESS")</f>
        <v>SUCCESS</v>
      </c>
      <c r="Z49" s="171" t="str">
        <f t="shared" ref="Z49" si="110">IF(K48-G49&lt;0,"ERROR","SUCCESS")</f>
        <v>SUCCESS</v>
      </c>
      <c r="AA49" s="185">
        <f t="shared" ref="AA49" si="111">B49/C49</f>
        <v>145.79824561403501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504</v>
      </c>
      <c r="B50" s="113">
        <f t="shared" si="39"/>
        <v>17125</v>
      </c>
      <c r="C50" s="118">
        <f>C49+G50</f>
        <v>116.86000000000006</v>
      </c>
      <c r="D50" s="181" t="s">
        <v>6</v>
      </c>
      <c r="E50" s="182">
        <f>IF(H49="AFIII",VLOOKUP($D50,Sheet1!$A$34:$K$48,5,FALSE),IF(H49="UBIII",VLOOKUP($D50,Sheet1!$A$34:$K$48,8,FALSE),VLOOKUP($D50,Sheet1!$A$34:$K$48,2,FALSE)))</f>
        <v>2.86</v>
      </c>
      <c r="F50" s="182">
        <f>ROUNDDOWN((IF(H49="AFIII",VLOOKUP($D50,Sheet1!$A$34:$K$48,5,FALSE),IF(H49="UBIII",VLOOKUP($D50,Sheet1!$A$34:$K$48,8,FALSE),VLOOKUP($D50,Sheet1!$A$34:$K$48,2,FALSE))))*0.85,2)</f>
        <v>2.4300000000000002</v>
      </c>
      <c r="G50" s="182">
        <f t="shared" ref="G50" si="112">IF(M49="迅速",IF(S49="黒魔紋",$F$1,$E$1),IF(S49="黒魔紋",IF(F50&lt;$F$1,$F$1,F50),IF(E50&lt;$E$1,$E$1,E50)))</f>
        <v>2.86</v>
      </c>
      <c r="H50" s="183" t="s">
        <v>84</v>
      </c>
      <c r="I50" s="182">
        <f>I49-G50</f>
        <v>4.2800000000000011</v>
      </c>
      <c r="K50" s="182">
        <f t="shared" ref="K50:K56" si="113">K49-G50</f>
        <v>24.28</v>
      </c>
      <c r="L50" s="182">
        <f t="shared" ref="L50:L72" si="114">L49-G50</f>
        <v>84.28</v>
      </c>
      <c r="O50" s="182">
        <f t="shared" si="91"/>
        <v>44.25</v>
      </c>
      <c r="P50" s="183" t="s">
        <v>131</v>
      </c>
      <c r="Q50" s="182">
        <f t="shared" si="102"/>
        <v>12.89</v>
      </c>
      <c r="R50" s="182">
        <v>60</v>
      </c>
      <c r="U50" s="184">
        <f t="shared" si="85"/>
        <v>39.009999999999948</v>
      </c>
      <c r="V50" s="201">
        <f>IF(H49="AFIII",VLOOKUP(D50,Sheet1!$A$4:$H$18,5,FALSE),IF(H49="UBIII",VLOOKUP(D50,Sheet1!$A$4:$H$18,8,FALSE),IF(H49="",VLOOKUP(D50,Sheet1!$A$4:$H$18,2,FALSE),"0")))</f>
        <v>1768</v>
      </c>
      <c r="W50" s="201">
        <f t="shared" ref="W50" si="115">IF(H49="UBIII",$X$2,0)</f>
        <v>0</v>
      </c>
      <c r="X50" s="208">
        <f t="shared" si="47"/>
        <v>7528</v>
      </c>
      <c r="Y50" s="171" t="str">
        <f t="shared" ref="Y50" si="116">IF(X49-V50&lt;0,"ERROR","SUCCESS")</f>
        <v>SUCCESS</v>
      </c>
      <c r="Z50" s="171" t="str">
        <f t="shared" ref="Z50" si="117">IF(K49-G50&lt;0,"ERROR","SUCCESS")</f>
        <v>SUCCESS</v>
      </c>
      <c r="AA50" s="185">
        <f t="shared" ref="AA50" si="118">B50/C50</f>
        <v>146.54287181242506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324</v>
      </c>
      <c r="B51" s="113">
        <f t="shared" si="39"/>
        <v>17449</v>
      </c>
      <c r="C51" s="118">
        <f t="shared" ref="C51:C59" si="119">C50+G51</f>
        <v>119.25000000000006</v>
      </c>
      <c r="D51" s="181" t="s">
        <v>214</v>
      </c>
      <c r="E51" s="182">
        <f>IF(H50="AFIII",VLOOKUP($D51,Sheet1!$A$34:$K$48,5,FALSE),IF(H50="UBIII",VLOOKUP($D51,Sheet1!$A$34:$K$48,8,FALSE),VLOOKUP($D51,Sheet1!$A$34:$K$48,2,FALSE)))</f>
        <v>2.39</v>
      </c>
      <c r="F51" s="182">
        <f>ROUNDDOWN((IF(H50="AFIII",VLOOKUP($D51,Sheet1!$A$34:$K$48,5,FALSE),IF(H50="UBIII",VLOOKUP($D51,Sheet1!$A$34:$K$48,8,FALSE),VLOOKUP($D51,Sheet1!$A$34:$K$48,2,FALSE))))*0.85,2)</f>
        <v>2.0299999999999998</v>
      </c>
      <c r="G51" s="182">
        <f t="shared" ref="G51" si="120">IF(M50="迅速",IF(S50="黒魔紋",$F$1,$E$1),IF(S50="黒魔紋",IF(F51&lt;$F$1,$F$1,F51),IF(E51&lt;$E$1,$E$1,E51)))</f>
        <v>2.39</v>
      </c>
      <c r="H51" s="183" t="s">
        <v>84</v>
      </c>
      <c r="I51" s="182">
        <v>10</v>
      </c>
      <c r="K51" s="182">
        <f t="shared" si="113"/>
        <v>21.89</v>
      </c>
      <c r="L51" s="182">
        <f t="shared" si="114"/>
        <v>81.89</v>
      </c>
      <c r="O51" s="182">
        <f t="shared" si="91"/>
        <v>41.86</v>
      </c>
      <c r="Q51" s="182">
        <f t="shared" si="102"/>
        <v>10.5</v>
      </c>
      <c r="R51" s="182">
        <f>R50-G51</f>
        <v>57.61</v>
      </c>
      <c r="U51" s="184">
        <f t="shared" si="85"/>
        <v>36.619999999999948</v>
      </c>
      <c r="V51" s="201">
        <f>IF(H50="AFIII",VLOOKUP(D51,Sheet1!$A$4:$H$18,5,FALSE),IF(H50="UBIII",VLOOKUP(D51,Sheet1!$A$4:$H$18,8,FALSE),IF(H50="",VLOOKUP(D51,Sheet1!$A$4:$H$18,2,FALSE),"0")))</f>
        <v>2120</v>
      </c>
      <c r="W51" s="201">
        <f t="shared" ref="W51" si="121">IF(H50="UBIII",$X$2,0)</f>
        <v>0</v>
      </c>
      <c r="X51" s="208">
        <f t="shared" si="47"/>
        <v>5408</v>
      </c>
      <c r="Y51" s="171" t="str">
        <f t="shared" ref="Y51" si="122">IF(X50-V51&lt;0,"ERROR","SUCCESS")</f>
        <v>SUCCESS</v>
      </c>
      <c r="Z51" s="171" t="str">
        <f t="shared" ref="Z51" si="123">IF(K50-G51&lt;0,"ERROR","SUCCESS")</f>
        <v>SUCCESS</v>
      </c>
      <c r="AA51" s="185">
        <f t="shared" ref="AA51" si="124">B51/C51</f>
        <v>146.32285115303975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432</v>
      </c>
      <c r="B52" s="113">
        <f t="shared" si="39"/>
        <v>17881</v>
      </c>
      <c r="C52" s="118">
        <f t="shared" si="119"/>
        <v>121.64000000000006</v>
      </c>
      <c r="D52" s="181" t="s">
        <v>129</v>
      </c>
      <c r="E52" s="182">
        <f>IF(H51="AFIII",VLOOKUP($D52,Sheet1!$A$34:$K$48,5,FALSE),IF(H51="UBIII",VLOOKUP($D52,Sheet1!$A$34:$K$48,8,FALSE),VLOOKUP($D52,Sheet1!$A$34:$K$48,2,FALSE)))</f>
        <v>2.39</v>
      </c>
      <c r="F52" s="182">
        <f>ROUNDDOWN((IF(H51="AFIII",VLOOKUP($D52,Sheet1!$A$34:$K$48,5,FALSE),IF(H51="UBIII",VLOOKUP($D52,Sheet1!$A$34:$K$48,8,FALSE),VLOOKUP($D52,Sheet1!$A$34:$K$48,2,FALSE))))*0.85,2)</f>
        <v>2.0299999999999998</v>
      </c>
      <c r="G52" s="182">
        <f t="shared" ref="G52" si="125">IF(M51="迅速",IF(S51="黒魔紋",$F$1,$E$1),IF(S51="黒魔紋",IF(F52&lt;$F$1,$F$1,F52),IF(E52&lt;$E$1,$E$1,E52)))</f>
        <v>2.39</v>
      </c>
      <c r="H52" s="183" t="s">
        <v>84</v>
      </c>
      <c r="I52" s="182">
        <v>10</v>
      </c>
      <c r="K52" s="182">
        <f t="shared" si="113"/>
        <v>19.5</v>
      </c>
      <c r="L52" s="182">
        <f t="shared" si="114"/>
        <v>79.5</v>
      </c>
      <c r="O52" s="182">
        <f t="shared" si="91"/>
        <v>39.47</v>
      </c>
      <c r="Q52" s="182">
        <f t="shared" si="102"/>
        <v>8.11</v>
      </c>
      <c r="R52" s="182">
        <f t="shared" ref="R52:R70" si="126">R51-G52</f>
        <v>55.22</v>
      </c>
      <c r="U52" s="184">
        <f t="shared" si="85"/>
        <v>34.229999999999947</v>
      </c>
      <c r="V52" s="201">
        <f>IF(H51="AFIII",VLOOKUP(D52,Sheet1!$A$4:$H$18,5,FALSE),IF(H51="UBIII",VLOOKUP(D52,Sheet1!$A$4:$H$18,8,FALSE),IF(H51="",VLOOKUP(D52,Sheet1!$A$4:$H$18,2,FALSE),"0")))</f>
        <v>0</v>
      </c>
      <c r="W52" s="201">
        <f t="shared" ref="W52" si="127">IF(H51="UBIII",$X$2,0)</f>
        <v>0</v>
      </c>
      <c r="X52" s="208">
        <f t="shared" si="47"/>
        <v>5408</v>
      </c>
      <c r="Y52" s="171" t="str">
        <f t="shared" ref="Y52" si="128">IF(X51-V52&lt;0,"ERROR","SUCCESS")</f>
        <v>SUCCESS</v>
      </c>
      <c r="Z52" s="171" t="str">
        <f t="shared" ref="Z52" si="129">IF(K51-G52&lt;0,"ERROR","SUCCESS")</f>
        <v>SUCCESS</v>
      </c>
      <c r="AA52" s="185">
        <f t="shared" ref="AA52" si="130">B52/C52</f>
        <v>146.99934232160467</v>
      </c>
    </row>
    <row r="53" spans="1:27">
      <c r="A53" s="112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504</v>
      </c>
      <c r="B53" s="113">
        <f t="shared" si="39"/>
        <v>18385</v>
      </c>
      <c r="C53" s="118">
        <f t="shared" si="119"/>
        <v>124.50000000000006</v>
      </c>
      <c r="D53" s="181" t="s">
        <v>6</v>
      </c>
      <c r="E53" s="182">
        <f>IF(H52="AFIII",VLOOKUP($D53,Sheet1!$A$34:$K$48,5,FALSE),IF(H52="UBIII",VLOOKUP($D53,Sheet1!$A$34:$K$48,8,FALSE),VLOOKUP($D53,Sheet1!$A$34:$K$48,2,FALSE)))</f>
        <v>2.86</v>
      </c>
      <c r="F53" s="182">
        <f>ROUNDDOWN((IF(H52="AFIII",VLOOKUP($D53,Sheet1!$A$34:$K$48,5,FALSE),IF(H52="UBIII",VLOOKUP($D53,Sheet1!$A$34:$K$48,8,FALSE),VLOOKUP($D53,Sheet1!$A$34:$K$48,2,FALSE))))*0.85,2)</f>
        <v>2.4300000000000002</v>
      </c>
      <c r="G53" s="182">
        <f t="shared" ref="G53" si="131">IF(M52="迅速",IF(S52="黒魔紋",$F$1,$E$1),IF(S52="黒魔紋",IF(F53&lt;$F$1,$F$1,F53),IF(E53&lt;$E$1,$E$1,E53)))</f>
        <v>2.86</v>
      </c>
      <c r="H53" s="183" t="s">
        <v>84</v>
      </c>
      <c r="I53" s="182">
        <f>I52-G53</f>
        <v>7.1400000000000006</v>
      </c>
      <c r="K53" s="182">
        <f t="shared" si="113"/>
        <v>16.64</v>
      </c>
      <c r="L53" s="182">
        <f t="shared" si="114"/>
        <v>76.64</v>
      </c>
      <c r="O53" s="182">
        <f t="shared" si="91"/>
        <v>36.61</v>
      </c>
      <c r="Q53" s="182">
        <f t="shared" si="102"/>
        <v>5.25</v>
      </c>
      <c r="R53" s="182">
        <f t="shared" si="126"/>
        <v>52.36</v>
      </c>
      <c r="U53" s="184">
        <f t="shared" si="85"/>
        <v>31.369999999999948</v>
      </c>
      <c r="V53" s="201">
        <f>IF(H52="AFIII",VLOOKUP(D53,Sheet1!$A$4:$H$18,5,FALSE),IF(H52="UBIII",VLOOKUP(D53,Sheet1!$A$4:$H$18,8,FALSE),IF(H52="",VLOOKUP(D53,Sheet1!$A$4:$H$18,2,FALSE),"0")))</f>
        <v>1768</v>
      </c>
      <c r="W53" s="201">
        <f t="shared" ref="W53" si="132">IF(H52="UBIII",$X$2,0)</f>
        <v>0</v>
      </c>
      <c r="X53" s="208">
        <f t="shared" si="47"/>
        <v>3640</v>
      </c>
      <c r="Y53" s="171" t="str">
        <f t="shared" ref="Y53" si="133">IF(X52-V53&lt;0,"ERROR","SUCCESS")</f>
        <v>SUCCESS</v>
      </c>
      <c r="Z53" s="171" t="str">
        <f t="shared" ref="Z53" si="134">IF(K52-G53&lt;0,"ERROR","SUCCESS")</f>
        <v>SUCCESS</v>
      </c>
      <c r="AA53" s="185">
        <f t="shared" ref="AA53" si="135">B53/C53</f>
        <v>147.67068273092363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504</v>
      </c>
      <c r="B54" s="113">
        <f t="shared" si="39"/>
        <v>18889</v>
      </c>
      <c r="C54" s="118">
        <f t="shared" si="119"/>
        <v>127.36000000000006</v>
      </c>
      <c r="D54" s="181" t="s">
        <v>6</v>
      </c>
      <c r="E54" s="182">
        <f>IF(H53="AFIII",VLOOKUP($D54,Sheet1!$A$34:$K$48,5,FALSE),IF(H53="UBIII",VLOOKUP($D54,Sheet1!$A$34:$K$48,8,FALSE),VLOOKUP($D54,Sheet1!$A$34:$K$48,2,FALSE)))</f>
        <v>2.86</v>
      </c>
      <c r="F54" s="182">
        <f>ROUNDDOWN((IF(H53="AFIII",VLOOKUP($D54,Sheet1!$A$34:$K$48,5,FALSE),IF(H53="UBIII",VLOOKUP($D54,Sheet1!$A$34:$K$48,8,FALSE),VLOOKUP($D54,Sheet1!$A$34:$K$48,2,FALSE))))*0.85,2)</f>
        <v>2.4300000000000002</v>
      </c>
      <c r="G54" s="182">
        <f t="shared" ref="G54" si="136">IF(M53="迅速",IF(S53="黒魔紋",$F$1,$E$1),IF(S53="黒魔紋",IF(F54&lt;$F$1,$F$1,F54),IF(E54&lt;$E$1,$E$1,E54)))</f>
        <v>2.86</v>
      </c>
      <c r="H54" s="183" t="s">
        <v>84</v>
      </c>
      <c r="I54" s="182">
        <f>I53-G54</f>
        <v>4.2800000000000011</v>
      </c>
      <c r="K54" s="182">
        <f t="shared" si="113"/>
        <v>13.780000000000001</v>
      </c>
      <c r="L54" s="182">
        <f t="shared" si="114"/>
        <v>73.78</v>
      </c>
      <c r="O54" s="182">
        <f t="shared" si="91"/>
        <v>33.75</v>
      </c>
      <c r="Q54" s="182">
        <f t="shared" si="102"/>
        <v>2.39</v>
      </c>
      <c r="R54" s="182">
        <f t="shared" si="126"/>
        <v>49.5</v>
      </c>
      <c r="U54" s="184">
        <f t="shared" si="85"/>
        <v>28.509999999999948</v>
      </c>
      <c r="V54" s="201">
        <f>IF(H53="AFIII",VLOOKUP(D54,Sheet1!$A$4:$H$18,5,FALSE),IF(H53="UBIII",VLOOKUP(D54,Sheet1!$A$4:$H$18,8,FALSE),IF(H53="",VLOOKUP(D54,Sheet1!$A$4:$H$18,2,FALSE),"0")))</f>
        <v>1768</v>
      </c>
      <c r="W54" s="201">
        <f t="shared" ref="W54" si="137">IF(H53="UBIII",$X$2,0)</f>
        <v>0</v>
      </c>
      <c r="X54" s="208">
        <f t="shared" si="47"/>
        <v>1872</v>
      </c>
      <c r="Y54" s="171" t="str">
        <f t="shared" ref="Y54" si="138">IF(X53-V54&lt;0,"ERROR","SUCCESS")</f>
        <v>SUCCESS</v>
      </c>
      <c r="Z54" s="171" t="str">
        <f t="shared" ref="Z54" si="139">IF(K53-G54&lt;0,"ERROR","SUCCESS")</f>
        <v>SUCCESS</v>
      </c>
      <c r="AA54" s="185">
        <f t="shared" ref="AA54" si="140">B54/C54</f>
        <v>148.31187185929642</v>
      </c>
    </row>
    <row r="55" spans="1:27">
      <c r="A55" s="112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168</v>
      </c>
      <c r="B55" s="113">
        <f t="shared" si="39"/>
        <v>19057</v>
      </c>
      <c r="C55" s="118">
        <f t="shared" si="119"/>
        <v>129.75000000000006</v>
      </c>
      <c r="D55" s="181" t="s">
        <v>12</v>
      </c>
      <c r="E55" s="182">
        <f>IF(H54="AFIII",VLOOKUP($D55,Sheet1!$A$34:$K$48,5,FALSE),IF(H54="UBIII",VLOOKUP($D55,Sheet1!$A$34:$K$48,8,FALSE),VLOOKUP($D55,Sheet1!$A$34:$K$48,2,FALSE)))</f>
        <v>1.67</v>
      </c>
      <c r="F55" s="182">
        <f>ROUNDDOWN((IF(H54="AFIII",VLOOKUP($D55,Sheet1!$A$34:$K$48,5,FALSE),IF(H54="UBIII",VLOOKUP($D55,Sheet1!$A$34:$K$48,8,FALSE),VLOOKUP($D55,Sheet1!$A$34:$K$48,2,FALSE))))*0.85,2)</f>
        <v>1.41</v>
      </c>
      <c r="G55" s="182">
        <f t="shared" ref="G55" si="141">IF(M54="迅速",IF(S54="黒魔紋",$F$1,$E$1),IF(S54="黒魔紋",IF(F55&lt;$F$1,$F$1,F55),IF(E55&lt;$E$1,$E$1,E55)))</f>
        <v>2.39</v>
      </c>
      <c r="H55" s="183" t="s">
        <v>122</v>
      </c>
      <c r="I55" s="182">
        <v>10</v>
      </c>
      <c r="K55" s="182">
        <f t="shared" si="113"/>
        <v>11.39</v>
      </c>
      <c r="L55" s="182">
        <f t="shared" si="114"/>
        <v>71.39</v>
      </c>
      <c r="O55" s="182">
        <f t="shared" si="91"/>
        <v>31.36</v>
      </c>
      <c r="Q55" s="182">
        <f t="shared" si="102"/>
        <v>0</v>
      </c>
      <c r="R55" s="182">
        <f t="shared" si="126"/>
        <v>47.11</v>
      </c>
      <c r="U55" s="184">
        <f t="shared" si="85"/>
        <v>26.119999999999948</v>
      </c>
      <c r="V55" s="201">
        <f>IF(H54="AFIII",VLOOKUP(D55,Sheet1!$A$4:$H$18,5,FALSE),IF(H54="UBIII",VLOOKUP(D55,Sheet1!$A$4:$H$18,8,FALSE),IF(H54="",VLOOKUP(D55,Sheet1!$A$4:$H$18,2,FALSE),"0")))</f>
        <v>265</v>
      </c>
      <c r="W55" s="201">
        <f t="shared" ref="W55" si="142">IF(H54="UBIII",$X$2,0)</f>
        <v>0</v>
      </c>
      <c r="X55" s="208">
        <f t="shared" si="47"/>
        <v>1607</v>
      </c>
      <c r="Y55" s="171" t="str">
        <f t="shared" ref="Y55" si="143">IF(X54-V55&lt;0,"ERROR","SUCCESS")</f>
        <v>SUCCESS</v>
      </c>
      <c r="Z55" s="171" t="str">
        <f t="shared" ref="Z55" si="144">IF(K54-G55&lt;0,"ERROR","SUCCESS")</f>
        <v>SUCCESS</v>
      </c>
      <c r="AA55" s="185">
        <f t="shared" ref="AA55" si="145">B55/C55</f>
        <v>146.87475915221574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295</v>
      </c>
      <c r="B56" s="113">
        <f t="shared" si="39"/>
        <v>19352</v>
      </c>
      <c r="C56" s="118">
        <f t="shared" si="119"/>
        <v>132.61000000000007</v>
      </c>
      <c r="D56" s="181" t="s">
        <v>19</v>
      </c>
      <c r="E56" s="182">
        <f>IF(H55="AFIII",VLOOKUP($D56,Sheet1!$A$34:$K$48,5,FALSE),IF(H55="UBIII",VLOOKUP($D56,Sheet1!$A$34:$K$48,8,FALSE),VLOOKUP($D56,Sheet1!$A$34:$K$48,2,FALSE)))</f>
        <v>2.86</v>
      </c>
      <c r="F56" s="182">
        <f>ROUNDDOWN((IF(H55="AFIII",VLOOKUP($D56,Sheet1!$A$34:$K$48,5,FALSE),IF(H55="UBIII",VLOOKUP($D56,Sheet1!$A$34:$K$48,8,FALSE),VLOOKUP($D56,Sheet1!$A$34:$K$48,2,FALSE))))*0.85,2)</f>
        <v>2.4300000000000002</v>
      </c>
      <c r="G56" s="182">
        <f t="shared" ref="G56" si="146">IF(M55="迅速",IF(S55="黒魔紋",$F$1,$E$1),IF(S55="黒魔紋",IF(F56&lt;$F$1,$F$1,F56),IF(E56&lt;$E$1,$E$1,E56)))</f>
        <v>2.86</v>
      </c>
      <c r="H56" s="183" t="s">
        <v>122</v>
      </c>
      <c r="I56" s="182">
        <f>I55-G56</f>
        <v>7.1400000000000006</v>
      </c>
      <c r="K56" s="182">
        <f t="shared" si="113"/>
        <v>8.5300000000000011</v>
      </c>
      <c r="L56" s="182">
        <f t="shared" si="114"/>
        <v>68.53</v>
      </c>
      <c r="O56" s="182">
        <f t="shared" si="91"/>
        <v>28.5</v>
      </c>
      <c r="P56" s="183" t="s">
        <v>17</v>
      </c>
      <c r="Q56" s="182">
        <v>21</v>
      </c>
      <c r="R56" s="182">
        <f t="shared" si="126"/>
        <v>44.25</v>
      </c>
      <c r="U56" s="184">
        <f t="shared" ref="U56:U72" si="147">U55-G56</f>
        <v>23.259999999999948</v>
      </c>
      <c r="V56" s="201">
        <f>IF(H55="AFIII",VLOOKUP(D56,Sheet1!$A$4:$H$18,5,FALSE),IF(H55="UBIII",VLOOKUP(D56,Sheet1!$A$4:$H$18,8,FALSE),IF(H55="",VLOOKUP(D56,Sheet1!$A$4:$H$18,2,FALSE),"0")))</f>
        <v>1060</v>
      </c>
      <c r="W56" s="201">
        <f t="shared" ref="W56" si="148">IF(H55="UBIII",$X$2,0)</f>
        <v>7033</v>
      </c>
      <c r="X56" s="208">
        <f t="shared" si="47"/>
        <v>7580</v>
      </c>
      <c r="Y56" s="171" t="str">
        <f t="shared" ref="Y56" si="149">IF(X55-V56&lt;0,"ERROR","SUCCESS")</f>
        <v>SUCCESS</v>
      </c>
      <c r="Z56" s="171" t="str">
        <f t="shared" ref="Z56" si="150">IF(K55-G56&lt;0,"ERROR","SUCCESS")</f>
        <v>SUCCESS</v>
      </c>
      <c r="AA56" s="185">
        <f t="shared" ref="AA56" si="151">B56/C56</f>
        <v>145.93167936053081</v>
      </c>
    </row>
    <row r="57" spans="1:27">
      <c r="A57" s="119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280</v>
      </c>
      <c r="B57" s="120">
        <f t="shared" si="39"/>
        <v>19632</v>
      </c>
      <c r="C57" s="121">
        <f t="shared" si="119"/>
        <v>135.47000000000008</v>
      </c>
      <c r="D57" s="191" t="s">
        <v>14</v>
      </c>
      <c r="E57" s="192">
        <f>IF(H56="AFIII",VLOOKUP($D57,Sheet1!$A$34:$K$48,5,FALSE),IF(H56="UBIII",VLOOKUP($D57,Sheet1!$A$34:$K$48,8,FALSE),VLOOKUP($D57,Sheet1!$A$34:$K$48,2,FALSE)))</f>
        <v>2.86</v>
      </c>
      <c r="F57" s="192">
        <f>ROUNDDOWN((IF(H56="AFIII",VLOOKUP($D57,Sheet1!$A$34:$K$48,5,FALSE),IF(H56="UBIII",VLOOKUP($D57,Sheet1!$A$34:$K$48,8,FALSE),VLOOKUP($D57,Sheet1!$A$34:$K$48,2,FALSE))))*0.85,2)</f>
        <v>2.4300000000000002</v>
      </c>
      <c r="G57" s="192">
        <f t="shared" ref="G57" si="152">IF(M56="迅速",IF(S56="黒魔紋",$F$1,$E$1),IF(S56="黒魔紋",IF(F57&lt;$F$1,$F$1,F57),IF(E57&lt;$E$1,$E$1,E57)))</f>
        <v>2.86</v>
      </c>
      <c r="H57" s="193" t="s">
        <v>122</v>
      </c>
      <c r="I57" s="192">
        <f>I56-G57</f>
        <v>4.2800000000000011</v>
      </c>
      <c r="J57" s="193"/>
      <c r="K57" s="192">
        <v>25</v>
      </c>
      <c r="L57" s="192">
        <f t="shared" si="114"/>
        <v>65.67</v>
      </c>
      <c r="M57" s="193"/>
      <c r="N57" s="192"/>
      <c r="O57" s="192">
        <f t="shared" si="91"/>
        <v>25.64</v>
      </c>
      <c r="P57" s="193"/>
      <c r="Q57" s="192">
        <f>Q56-G57</f>
        <v>18.14</v>
      </c>
      <c r="R57" s="192">
        <f t="shared" si="126"/>
        <v>41.39</v>
      </c>
      <c r="S57" s="193"/>
      <c r="T57" s="192"/>
      <c r="U57" s="194">
        <f t="shared" si="147"/>
        <v>20.399999999999949</v>
      </c>
      <c r="V57" s="211">
        <f>IF(H56="AFIII",VLOOKUP(D57,Sheet1!$A$4:$H$18,5,FALSE),IF(H56="UBIII",VLOOKUP(D57,Sheet1!$A$4:$H$18,8,FALSE),IF(H56="",VLOOKUP(D57,Sheet1!$A$4:$H$18,2,FALSE),"0")))</f>
        <v>884</v>
      </c>
      <c r="W57" s="211">
        <f t="shared" ref="W57" si="153">IF(H56="UBIII",$X$2,0)</f>
        <v>7033</v>
      </c>
      <c r="X57" s="212">
        <f t="shared" si="47"/>
        <v>10622</v>
      </c>
      <c r="Y57" s="195" t="str">
        <f t="shared" ref="Y57" si="154">IF(X56-V57&lt;0,"ERROR","SUCCESS")</f>
        <v>SUCCESS</v>
      </c>
      <c r="Z57" s="195" t="str">
        <f t="shared" ref="Z57" si="155">IF(K56-G57&lt;0,"ERROR","SUCCESS")</f>
        <v>SUCCESS</v>
      </c>
      <c r="AA57" s="185">
        <f t="shared" ref="AA57" si="156">B57/C57</f>
        <v>144.91769395438095</v>
      </c>
    </row>
    <row r="58" spans="1:27">
      <c r="A58" s="112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168</v>
      </c>
      <c r="B58" s="113">
        <f t="shared" si="39"/>
        <v>19800</v>
      </c>
      <c r="C58" s="118">
        <f t="shared" si="119"/>
        <v>137.86000000000007</v>
      </c>
      <c r="D58" s="181" t="s">
        <v>4</v>
      </c>
      <c r="E58" s="182">
        <f>IF(H57="AFIII",VLOOKUP($D58,Sheet1!$A$34:$K$48,5,FALSE),IF(H57="UBIII",VLOOKUP($D58,Sheet1!$A$34:$K$48,8,FALSE),VLOOKUP($D58,Sheet1!$A$34:$K$48,2,FALSE)))</f>
        <v>1.67</v>
      </c>
      <c r="F58" s="182">
        <f>ROUNDDOWN((IF(H57="AFIII",VLOOKUP($D58,Sheet1!$A$34:$K$48,5,FALSE),IF(H57="UBIII",VLOOKUP($D58,Sheet1!$A$34:$K$48,8,FALSE),VLOOKUP($D58,Sheet1!$A$34:$K$48,2,FALSE))))*0.85,2)</f>
        <v>1.41</v>
      </c>
      <c r="G58" s="182">
        <f t="shared" ref="G58" si="157">IF(M57="迅速",IF(S57="黒魔紋",$F$1,$E$1),IF(S57="黒魔紋",IF(F58&lt;$F$1,$F$1,F58),IF(E58&lt;$E$1,$E$1,E58)))</f>
        <v>2.39</v>
      </c>
      <c r="H58" s="183" t="s">
        <v>84</v>
      </c>
      <c r="I58" s="182">
        <v>10</v>
      </c>
      <c r="K58" s="182">
        <f t="shared" ref="K58:K61" si="158">K57-G58</f>
        <v>22.61</v>
      </c>
      <c r="L58" s="182">
        <f t="shared" si="114"/>
        <v>63.28</v>
      </c>
      <c r="O58" s="182">
        <f t="shared" si="91"/>
        <v>23.25</v>
      </c>
      <c r="Q58" s="182">
        <f t="shared" ref="Q58:Q64" si="159">Q57-G58</f>
        <v>15.75</v>
      </c>
      <c r="R58" s="182">
        <f t="shared" si="126"/>
        <v>39</v>
      </c>
      <c r="U58" s="184">
        <f t="shared" si="147"/>
        <v>18.009999999999948</v>
      </c>
      <c r="V58" s="201">
        <f>IF(H57="AFIII",VLOOKUP(D58,Sheet1!$A$4:$H$18,5,FALSE),IF(H57="UBIII",VLOOKUP(D58,Sheet1!$A$4:$H$18,8,FALSE),IF(H57="",VLOOKUP(D58,Sheet1!$A$4:$H$18,2,FALSE),"0")))</f>
        <v>442</v>
      </c>
      <c r="W58" s="201">
        <f t="shared" ref="W58" si="160">IF(H57="UBIII",$X$2,0)</f>
        <v>7033</v>
      </c>
      <c r="X58" s="208">
        <f t="shared" si="47"/>
        <v>11064</v>
      </c>
      <c r="Y58" s="171" t="str">
        <f t="shared" ref="Y58" si="161">IF(X57-V58&lt;0,"ERROR","SUCCESS")</f>
        <v>SUCCESS</v>
      </c>
      <c r="Z58" s="171" t="str">
        <f t="shared" ref="Z58" si="162">IF(K57-G58&lt;0,"ERROR","SUCCESS")</f>
        <v>SUCCESS</v>
      </c>
      <c r="AA58" s="185">
        <f t="shared" ref="AA58" si="163">B58/C58</f>
        <v>143.62396634266639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504</v>
      </c>
      <c r="B59" s="113">
        <f t="shared" si="39"/>
        <v>20304</v>
      </c>
      <c r="C59" s="118">
        <f t="shared" si="119"/>
        <v>140.72000000000008</v>
      </c>
      <c r="D59" s="181" t="s">
        <v>6</v>
      </c>
      <c r="E59" s="182">
        <f>IF(H58="AFIII",VLOOKUP($D59,Sheet1!$A$34:$K$48,5,FALSE),IF(H58="UBIII",VLOOKUP($D59,Sheet1!$A$34:$K$48,8,FALSE),VLOOKUP($D59,Sheet1!$A$34:$K$48,2,FALSE)))</f>
        <v>2.86</v>
      </c>
      <c r="F59" s="182">
        <f>ROUNDDOWN((IF(H58="AFIII",VLOOKUP($D59,Sheet1!$A$34:$K$48,5,FALSE),IF(H58="UBIII",VLOOKUP($D59,Sheet1!$A$34:$K$48,8,FALSE),VLOOKUP($D59,Sheet1!$A$34:$K$48,2,FALSE))))*0.85,2)</f>
        <v>2.4300000000000002</v>
      </c>
      <c r="G59" s="182">
        <f t="shared" ref="G59" si="164">IF(M58="迅速",IF(S58="黒魔紋",$F$1,$E$1),IF(S58="黒魔紋",IF(F59&lt;$F$1,$F$1,F59),IF(E59&lt;$E$1,$E$1,E59)))</f>
        <v>2.86</v>
      </c>
      <c r="H59" s="183" t="s">
        <v>84</v>
      </c>
      <c r="I59" s="182">
        <f>I58-G59</f>
        <v>7.1400000000000006</v>
      </c>
      <c r="K59" s="182">
        <f t="shared" si="158"/>
        <v>19.75</v>
      </c>
      <c r="L59" s="182">
        <f t="shared" si="114"/>
        <v>60.42</v>
      </c>
      <c r="O59" s="182">
        <f t="shared" si="91"/>
        <v>20.39</v>
      </c>
      <c r="Q59" s="182">
        <f t="shared" si="159"/>
        <v>12.89</v>
      </c>
      <c r="R59" s="182">
        <f t="shared" si="126"/>
        <v>36.14</v>
      </c>
      <c r="U59" s="184">
        <f t="shared" si="147"/>
        <v>15.149999999999949</v>
      </c>
      <c r="V59" s="201">
        <f>IF(H58="AFIII",VLOOKUP(D59,Sheet1!$A$4:$H$18,5,FALSE),IF(H58="UBIII",VLOOKUP(D59,Sheet1!$A$4:$H$18,8,FALSE),IF(H58="",VLOOKUP(D59,Sheet1!$A$4:$H$18,2,FALSE),"0")))</f>
        <v>1768</v>
      </c>
      <c r="W59" s="201">
        <f t="shared" ref="W59" si="165">IF(H58="UBIII",$X$2,0)</f>
        <v>0</v>
      </c>
      <c r="X59" s="208">
        <f t="shared" si="47"/>
        <v>9296</v>
      </c>
      <c r="Y59" s="171" t="str">
        <f t="shared" ref="Y59" si="166">IF(X58-V59&lt;0,"ERROR","SUCCESS")</f>
        <v>SUCCESS</v>
      </c>
      <c r="Z59" s="171" t="str">
        <f t="shared" ref="Z59" si="167">IF(K58-G59&lt;0,"ERROR","SUCCESS")</f>
        <v>SUCCESS</v>
      </c>
      <c r="AA59" s="185">
        <f t="shared" ref="AA59" si="168">B59/C59</f>
        <v>144.28652643547463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504</v>
      </c>
      <c r="B60" s="113">
        <f t="shared" si="39"/>
        <v>20808</v>
      </c>
      <c r="C60" s="118">
        <f t="shared" ref="C60:C72" si="169">C59+G60</f>
        <v>143.5800000000001</v>
      </c>
      <c r="D60" s="181" t="s">
        <v>6</v>
      </c>
      <c r="E60" s="182">
        <f>IF(H59="AFIII",VLOOKUP($D60,Sheet1!$A$34:$K$48,5,FALSE),IF(H59="UBIII",VLOOKUP($D60,Sheet1!$A$34:$K$48,8,FALSE),VLOOKUP($D60,Sheet1!$A$34:$K$48,2,FALSE)))</f>
        <v>2.86</v>
      </c>
      <c r="F60" s="182">
        <f>ROUNDDOWN((IF(H59="AFIII",VLOOKUP($D60,Sheet1!$A$34:$K$48,5,FALSE),IF(H59="UBIII",VLOOKUP($D60,Sheet1!$A$34:$K$48,8,FALSE),VLOOKUP($D60,Sheet1!$A$34:$K$48,2,FALSE))))*0.85,2)</f>
        <v>2.4300000000000002</v>
      </c>
      <c r="G60" s="182">
        <f t="shared" ref="G60:G62" si="170">IF(M59="迅速",IF(S59="黒魔紋",$F$1,$E$1),IF(S59="黒魔紋",IF(F60&lt;$F$1,$F$1,F60),IF(E60&lt;$E$1,$E$1,E60)))</f>
        <v>2.86</v>
      </c>
      <c r="H60" s="183" t="s">
        <v>84</v>
      </c>
      <c r="I60" s="182">
        <f t="shared" ref="I60" si="171">I59-G60</f>
        <v>4.2800000000000011</v>
      </c>
      <c r="K60" s="182">
        <f t="shared" si="158"/>
        <v>16.89</v>
      </c>
      <c r="L60" s="182">
        <f t="shared" si="114"/>
        <v>57.56</v>
      </c>
      <c r="O60" s="182">
        <f t="shared" si="91"/>
        <v>17.53</v>
      </c>
      <c r="Q60" s="182">
        <f t="shared" si="159"/>
        <v>10.030000000000001</v>
      </c>
      <c r="R60" s="182">
        <f t="shared" si="126"/>
        <v>33.28</v>
      </c>
      <c r="U60" s="184">
        <f t="shared" si="147"/>
        <v>12.289999999999949</v>
      </c>
      <c r="V60" s="201">
        <f>IF(H59="AFIII",VLOOKUP(D60,Sheet1!$A$4:$H$18,5,FALSE),IF(H59="UBIII",VLOOKUP(D60,Sheet1!$A$4:$H$18,8,FALSE),IF(H59="",VLOOKUP(D60,Sheet1!$A$4:$H$18,2,FALSE),"0")))</f>
        <v>1768</v>
      </c>
      <c r="W60" s="201">
        <f t="shared" ref="W60:W72" si="172">IF(H59="UBIII",$X$2,0)</f>
        <v>0</v>
      </c>
      <c r="X60" s="208">
        <f t="shared" ref="X60:X72" si="173">IF(D60="フレア",IF(M60="コンバート",$X$1,0),IF(X59-V60+W60&gt;$X$3,$X$3-V60,X59-V60+W60))</f>
        <v>7528</v>
      </c>
      <c r="Y60" s="171" t="str">
        <f t="shared" ref="Y60:Y72" si="174">IF(X59-V60&lt;0,"ERROR","SUCCESS")</f>
        <v>SUCCESS</v>
      </c>
      <c r="Z60" s="171" t="str">
        <f t="shared" ref="Z60:Z72" si="175">IF(K59-G60&lt;0,"ERROR","SUCCESS")</f>
        <v>SUCCESS</v>
      </c>
      <c r="AA60" s="185">
        <f t="shared" ref="AA60:AA72" si="176">B60/C60</f>
        <v>144.92269118261586</v>
      </c>
    </row>
    <row r="61" spans="1:27">
      <c r="A61" s="11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324</v>
      </c>
      <c r="B61" s="113">
        <f t="shared" si="39"/>
        <v>21132</v>
      </c>
      <c r="C61" s="118">
        <f t="shared" si="169"/>
        <v>145.97000000000008</v>
      </c>
      <c r="D61" s="181" t="s">
        <v>1</v>
      </c>
      <c r="E61" s="182">
        <f>IF(H60="AFIII",VLOOKUP($D61,Sheet1!$A$34:$K$48,5,FALSE),IF(H60="UBIII",VLOOKUP($D61,Sheet1!$A$34:$K$48,8,FALSE),VLOOKUP($D61,Sheet1!$A$34:$K$48,2,FALSE)))</f>
        <v>2.39</v>
      </c>
      <c r="F61" s="182">
        <f>ROUNDDOWN((IF(H60="AFIII",VLOOKUP($D61,Sheet1!$A$34:$K$48,5,FALSE),IF(H60="UBIII",VLOOKUP($D61,Sheet1!$A$34:$K$48,8,FALSE),VLOOKUP($D61,Sheet1!$A$34:$K$48,2,FALSE))))*0.85,2)</f>
        <v>2.0299999999999998</v>
      </c>
      <c r="G61" s="182">
        <f t="shared" si="170"/>
        <v>2.39</v>
      </c>
      <c r="H61" s="183" t="s">
        <v>84</v>
      </c>
      <c r="I61" s="182">
        <v>10</v>
      </c>
      <c r="K61" s="182">
        <f t="shared" si="158"/>
        <v>14.5</v>
      </c>
      <c r="L61" s="182">
        <f t="shared" si="114"/>
        <v>55.17</v>
      </c>
      <c r="O61" s="182">
        <f>O60-G61</f>
        <v>15.14</v>
      </c>
      <c r="Q61" s="182">
        <f t="shared" si="159"/>
        <v>7.6400000000000006</v>
      </c>
      <c r="R61" s="182">
        <f t="shared" si="126"/>
        <v>30.89</v>
      </c>
      <c r="U61" s="184">
        <f t="shared" si="147"/>
        <v>9.8999999999999488</v>
      </c>
      <c r="V61" s="201">
        <f>IF(H60="AFIII",VLOOKUP(D61,Sheet1!$A$4:$H$18,5,FALSE),IF(H60="UBIII",VLOOKUP(D61,Sheet1!$A$4:$H$18,8,FALSE),IF(H60="",VLOOKUP(D61,Sheet1!$A$4:$H$18,2,FALSE),"0")))</f>
        <v>2120</v>
      </c>
      <c r="W61" s="201">
        <f t="shared" si="172"/>
        <v>0</v>
      </c>
      <c r="X61" s="208">
        <f t="shared" si="173"/>
        <v>5408</v>
      </c>
      <c r="Y61" s="171" t="str">
        <f t="shared" si="174"/>
        <v>SUCCESS</v>
      </c>
      <c r="Z61" s="171" t="str">
        <f t="shared" si="175"/>
        <v>SUCCESS</v>
      </c>
      <c r="AA61" s="185">
        <f t="shared" si="176"/>
        <v>144.76947317942034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504</v>
      </c>
      <c r="B62" s="113">
        <f t="shared" si="39"/>
        <v>21636</v>
      </c>
      <c r="C62" s="118">
        <f t="shared" si="169"/>
        <v>148.8300000000001</v>
      </c>
      <c r="D62" s="181" t="s">
        <v>6</v>
      </c>
      <c r="E62" s="182">
        <f>IF(H61="AFIII",VLOOKUP($D62,Sheet1!$A$34:$K$48,5,FALSE),IF(H61="UBIII",VLOOKUP($D62,Sheet1!$A$34:$K$48,8,FALSE),VLOOKUP($D62,Sheet1!$A$34:$K$48,2,FALSE)))</f>
        <v>2.86</v>
      </c>
      <c r="F62" s="182">
        <f>ROUNDDOWN((IF(H61="AFIII",VLOOKUP($D62,Sheet1!$A$34:$K$48,5,FALSE),IF(H61="UBIII",VLOOKUP($D62,Sheet1!$A$34:$K$48,8,FALSE),VLOOKUP($D62,Sheet1!$A$34:$K$48,2,FALSE))))*0.85,2)</f>
        <v>2.4300000000000002</v>
      </c>
      <c r="G62" s="182">
        <f t="shared" si="170"/>
        <v>2.86</v>
      </c>
      <c r="H62" s="183" t="s">
        <v>84</v>
      </c>
      <c r="I62" s="182">
        <f t="shared" ref="I62:I63" si="177">I61-G62</f>
        <v>7.1400000000000006</v>
      </c>
      <c r="K62" s="182">
        <f>K61-G62</f>
        <v>11.64</v>
      </c>
      <c r="L62" s="182">
        <f t="shared" si="114"/>
        <v>52.31</v>
      </c>
      <c r="O62" s="182">
        <f t="shared" ref="O62:O68" si="178">O61-G62</f>
        <v>12.280000000000001</v>
      </c>
      <c r="Q62" s="182">
        <f t="shared" si="159"/>
        <v>4.7800000000000011</v>
      </c>
      <c r="R62" s="182">
        <f t="shared" si="126"/>
        <v>28.03</v>
      </c>
      <c r="U62" s="184">
        <f t="shared" si="147"/>
        <v>7.0399999999999494</v>
      </c>
      <c r="V62" s="201">
        <f>IF(H61="AFIII",VLOOKUP(D62,Sheet1!$A$4:$H$18,5,FALSE),IF(H61="UBIII",VLOOKUP(D62,Sheet1!$A$4:$H$18,8,FALSE),IF(H61="",VLOOKUP(D62,Sheet1!$A$4:$H$18,2,FALSE),"0")))</f>
        <v>1768</v>
      </c>
      <c r="W62" s="201">
        <f t="shared" si="172"/>
        <v>0</v>
      </c>
      <c r="X62" s="208">
        <f t="shared" si="173"/>
        <v>3640</v>
      </c>
      <c r="Y62" s="171" t="str">
        <f t="shared" si="174"/>
        <v>SUCCESS</v>
      </c>
      <c r="Z62" s="171" t="str">
        <f t="shared" si="175"/>
        <v>SUCCESS</v>
      </c>
      <c r="AA62" s="185">
        <f t="shared" si="176"/>
        <v>145.37391654908276</v>
      </c>
    </row>
    <row r="63" spans="1:27">
      <c r="A63" s="112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504</v>
      </c>
      <c r="B63" s="113">
        <f t="shared" si="39"/>
        <v>22140</v>
      </c>
      <c r="C63" s="118">
        <f t="shared" si="169"/>
        <v>151.69000000000011</v>
      </c>
      <c r="D63" s="181" t="s">
        <v>6</v>
      </c>
      <c r="E63" s="182">
        <f>IF(H62="AFIII",VLOOKUP($D63,Sheet1!$A$34:$K$48,5,FALSE),IF(H62="UBIII",VLOOKUP($D63,Sheet1!$A$34:$K$48,8,FALSE),VLOOKUP($D63,Sheet1!$A$34:$K$48,2,FALSE)))</f>
        <v>2.86</v>
      </c>
      <c r="F63" s="182">
        <f>ROUNDDOWN((IF(H62="AFIII",VLOOKUP($D63,Sheet1!$A$34:$K$48,5,FALSE),IF(H62="UBIII",VLOOKUP($D63,Sheet1!$A$34:$K$48,8,FALSE),VLOOKUP($D63,Sheet1!$A$34:$K$48,2,FALSE))))*0.85,2)</f>
        <v>2.4300000000000002</v>
      </c>
      <c r="G63" s="182">
        <f>IF(M62="迅速",IF(S62="黒魔紋",$F$1,$E$1),IF(S62="黒魔紋",IF(F63&lt;$F$1,$F$1,F63),IF(E63&lt;$E$1,$E$1,E63)))</f>
        <v>2.86</v>
      </c>
      <c r="H63" s="183" t="s">
        <v>84</v>
      </c>
      <c r="I63" s="182">
        <f t="shared" si="177"/>
        <v>4.2800000000000011</v>
      </c>
      <c r="K63" s="182">
        <f t="shared" ref="K63:K65" si="179">K62-G63</f>
        <v>8.7800000000000011</v>
      </c>
      <c r="L63" s="182">
        <f t="shared" si="114"/>
        <v>49.45</v>
      </c>
      <c r="O63" s="182">
        <f t="shared" si="178"/>
        <v>9.4200000000000017</v>
      </c>
      <c r="Q63" s="182">
        <f t="shared" si="159"/>
        <v>1.9200000000000013</v>
      </c>
      <c r="R63" s="182">
        <f t="shared" si="126"/>
        <v>25.17</v>
      </c>
      <c r="U63" s="184">
        <f t="shared" si="147"/>
        <v>4.17999999999995</v>
      </c>
      <c r="V63" s="201">
        <f>IF(H62="AFIII",VLOOKUP(D63,Sheet1!$A$4:$H$18,5,FALSE),IF(H62="UBIII",VLOOKUP(D63,Sheet1!$A$4:$H$18,8,FALSE),IF(H62="",VLOOKUP(D63,Sheet1!$A$4:$H$18,2,FALSE),"0")))</f>
        <v>1768</v>
      </c>
      <c r="W63" s="201">
        <f t="shared" si="172"/>
        <v>0</v>
      </c>
      <c r="X63" s="208">
        <f t="shared" si="173"/>
        <v>1872</v>
      </c>
      <c r="Y63" s="171" t="str">
        <f t="shared" si="174"/>
        <v>SUCCESS</v>
      </c>
      <c r="Z63" s="171" t="str">
        <f t="shared" si="175"/>
        <v>SUCCESS</v>
      </c>
      <c r="AA63" s="185">
        <f t="shared" si="176"/>
        <v>145.95556727536413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168</v>
      </c>
      <c r="B64" s="113">
        <f t="shared" si="39"/>
        <v>22308</v>
      </c>
      <c r="C64" s="118">
        <f t="shared" si="169"/>
        <v>154.0800000000001</v>
      </c>
      <c r="D64" s="181" t="s">
        <v>12</v>
      </c>
      <c r="E64" s="182">
        <f>IF(H63="AFIII",VLOOKUP($D64,Sheet1!$A$34:$K$48,5,FALSE),IF(H63="UBIII",VLOOKUP($D64,Sheet1!$A$34:$K$48,8,FALSE),VLOOKUP($D64,Sheet1!$A$34:$K$48,2,FALSE)))</f>
        <v>1.67</v>
      </c>
      <c r="F64" s="182">
        <f>ROUNDDOWN((IF(H63="AFIII",VLOOKUP($D64,Sheet1!$A$34:$K$48,5,FALSE),IF(H63="UBIII",VLOOKUP($D64,Sheet1!$A$34:$K$48,8,FALSE),VLOOKUP($D64,Sheet1!$A$34:$K$48,2,FALSE))))*0.85,2)</f>
        <v>1.41</v>
      </c>
      <c r="G64" s="182">
        <f t="shared" ref="G64:G72" si="180">IF(M63="迅速",IF(S63="黒魔紋",$F$1,$E$1),IF(S63="黒魔紋",IF(F64&lt;$F$1,$F$1,F64),IF(E64&lt;$E$1,$E$1,E64)))</f>
        <v>2.39</v>
      </c>
      <c r="H64" s="183" t="s">
        <v>122</v>
      </c>
      <c r="I64" s="182">
        <v>10</v>
      </c>
      <c r="K64" s="182">
        <f t="shared" si="179"/>
        <v>6.3900000000000006</v>
      </c>
      <c r="L64" s="182">
        <f t="shared" si="114"/>
        <v>47.06</v>
      </c>
      <c r="O64" s="182">
        <f t="shared" si="178"/>
        <v>7.0300000000000011</v>
      </c>
      <c r="Q64" s="182">
        <f t="shared" si="159"/>
        <v>-0.46999999999999886</v>
      </c>
      <c r="R64" s="182">
        <f t="shared" si="126"/>
        <v>22.78</v>
      </c>
      <c r="U64" s="184">
        <f t="shared" si="147"/>
        <v>1.7899999999999499</v>
      </c>
      <c r="V64" s="201">
        <f>IF(H63="AFIII",VLOOKUP(D64,Sheet1!$A$4:$H$18,5,FALSE),IF(H63="UBIII",VLOOKUP(D64,Sheet1!$A$4:$H$18,8,FALSE),IF(H63="",VLOOKUP(D64,Sheet1!$A$4:$H$18,2,FALSE),"0")))</f>
        <v>265</v>
      </c>
      <c r="W64" s="201">
        <f t="shared" si="172"/>
        <v>0</v>
      </c>
      <c r="X64" s="208">
        <f t="shared" si="173"/>
        <v>1607</v>
      </c>
      <c r="Y64" s="171" t="str">
        <f t="shared" si="174"/>
        <v>SUCCESS</v>
      </c>
      <c r="Z64" s="171" t="str">
        <f t="shared" si="175"/>
        <v>SUCCESS</v>
      </c>
      <c r="AA64" s="185">
        <f t="shared" si="176"/>
        <v>144.78193146417436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295</v>
      </c>
      <c r="B65" s="113">
        <f t="shared" si="39"/>
        <v>22603</v>
      </c>
      <c r="C65" s="118">
        <f t="shared" si="169"/>
        <v>156.94000000000011</v>
      </c>
      <c r="D65" s="181" t="s">
        <v>19</v>
      </c>
      <c r="E65" s="182">
        <f>IF(H64="AFIII",VLOOKUP($D65,Sheet1!$A$34:$K$48,5,FALSE),IF(H64="UBIII",VLOOKUP($D65,Sheet1!$A$34:$K$48,8,FALSE),VLOOKUP($D65,Sheet1!$A$34:$K$48,2,FALSE)))</f>
        <v>2.86</v>
      </c>
      <c r="F65" s="182">
        <f>ROUNDDOWN((IF(H64="AFIII",VLOOKUP($D65,Sheet1!$A$34:$K$48,5,FALSE),IF(H64="UBIII",VLOOKUP($D65,Sheet1!$A$34:$K$48,8,FALSE),VLOOKUP($D65,Sheet1!$A$34:$K$48,2,FALSE))))*0.85,2)</f>
        <v>2.4300000000000002</v>
      </c>
      <c r="G65" s="182">
        <f t="shared" si="180"/>
        <v>2.86</v>
      </c>
      <c r="H65" s="183" t="s">
        <v>122</v>
      </c>
      <c r="I65" s="182">
        <f t="shared" ref="I65:I66" si="181">I64-G65</f>
        <v>7.1400000000000006</v>
      </c>
      <c r="K65" s="182">
        <f t="shared" si="179"/>
        <v>3.5300000000000007</v>
      </c>
      <c r="L65" s="182">
        <f t="shared" si="114"/>
        <v>44.2</v>
      </c>
      <c r="O65" s="182">
        <f t="shared" si="178"/>
        <v>4.1700000000000017</v>
      </c>
      <c r="P65" s="183" t="s">
        <v>17</v>
      </c>
      <c r="Q65" s="182">
        <v>21</v>
      </c>
      <c r="R65" s="182">
        <f t="shared" si="126"/>
        <v>19.920000000000002</v>
      </c>
      <c r="U65" s="184">
        <f t="shared" si="147"/>
        <v>-1.07000000000005</v>
      </c>
      <c r="V65" s="201">
        <f>IF(H64="AFIII",VLOOKUP(D65,Sheet1!$A$4:$H$18,5,FALSE),IF(H64="UBIII",VLOOKUP(D65,Sheet1!$A$4:$H$18,8,FALSE),IF(H64="",VLOOKUP(D65,Sheet1!$A$4:$H$18,2,FALSE),"0")))</f>
        <v>1060</v>
      </c>
      <c r="W65" s="201">
        <f t="shared" si="172"/>
        <v>7033</v>
      </c>
      <c r="X65" s="208">
        <f t="shared" si="173"/>
        <v>7580</v>
      </c>
      <c r="Y65" s="171" t="str">
        <f t="shared" si="174"/>
        <v>SUCCESS</v>
      </c>
      <c r="Z65" s="171" t="str">
        <f t="shared" si="175"/>
        <v>SUCCESS</v>
      </c>
      <c r="AA65" s="185">
        <f t="shared" si="176"/>
        <v>144.02319357716314</v>
      </c>
    </row>
    <row r="66" spans="1:27">
      <c r="A66" s="119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280</v>
      </c>
      <c r="B66" s="120">
        <f t="shared" si="39"/>
        <v>22883</v>
      </c>
      <c r="C66" s="121">
        <f t="shared" si="169"/>
        <v>159.80000000000013</v>
      </c>
      <c r="D66" s="191" t="s">
        <v>14</v>
      </c>
      <c r="E66" s="192">
        <f>IF(H65="AFIII",VLOOKUP($D66,Sheet1!$A$34:$K$48,5,FALSE),IF(H65="UBIII",VLOOKUP($D66,Sheet1!$A$34:$K$48,8,FALSE),VLOOKUP($D66,Sheet1!$A$34:$K$48,2,FALSE)))</f>
        <v>2.86</v>
      </c>
      <c r="F66" s="192">
        <f>ROUNDDOWN((IF(H65="AFIII",VLOOKUP($D66,Sheet1!$A$34:$K$48,5,FALSE),IF(H65="UBIII",VLOOKUP($D66,Sheet1!$A$34:$K$48,8,FALSE),VLOOKUP($D66,Sheet1!$A$34:$K$48,2,FALSE))))*0.85,2)</f>
        <v>2.4300000000000002</v>
      </c>
      <c r="G66" s="192">
        <f t="shared" si="180"/>
        <v>2.86</v>
      </c>
      <c r="H66" s="193" t="s">
        <v>122</v>
      </c>
      <c r="I66" s="192">
        <f t="shared" si="181"/>
        <v>4.2800000000000011</v>
      </c>
      <c r="J66" s="193"/>
      <c r="K66" s="192">
        <v>20</v>
      </c>
      <c r="L66" s="192">
        <f t="shared" si="114"/>
        <v>41.34</v>
      </c>
      <c r="M66" s="193"/>
      <c r="N66" s="192"/>
      <c r="O66" s="192">
        <f t="shared" si="178"/>
        <v>1.3100000000000018</v>
      </c>
      <c r="P66" s="193"/>
      <c r="Q66" s="192">
        <f t="shared" ref="Q66:Q72" si="182">Q65-G66</f>
        <v>18.14</v>
      </c>
      <c r="R66" s="192">
        <f t="shared" si="126"/>
        <v>17.060000000000002</v>
      </c>
      <c r="S66" s="193"/>
      <c r="T66" s="192"/>
      <c r="U66" s="194">
        <f t="shared" ref="U66" si="183">U65-G66</f>
        <v>-3.9300000000000499</v>
      </c>
      <c r="V66" s="211">
        <f>IF(H65="AFIII",VLOOKUP(D66,Sheet1!$A$4:$H$18,5,FALSE),IF(H65="UBIII",VLOOKUP(D66,Sheet1!$A$4:$H$18,8,FALSE),IF(H65="",VLOOKUP(D66,Sheet1!$A$4:$H$18,2,FALSE),"0")))</f>
        <v>884</v>
      </c>
      <c r="W66" s="211">
        <f t="shared" si="172"/>
        <v>7033</v>
      </c>
      <c r="X66" s="212">
        <f t="shared" si="173"/>
        <v>10622</v>
      </c>
      <c r="Y66" s="195" t="str">
        <f t="shared" si="174"/>
        <v>SUCCESS</v>
      </c>
      <c r="Z66" s="195" t="str">
        <f t="shared" si="175"/>
        <v>SUCCESS</v>
      </c>
      <c r="AA66" s="185">
        <f t="shared" si="176"/>
        <v>143.19774718397986</v>
      </c>
    </row>
    <row r="67" spans="1:27">
      <c r="A67" s="112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168</v>
      </c>
      <c r="B67" s="113">
        <f t="shared" si="39"/>
        <v>23051</v>
      </c>
      <c r="C67" s="118">
        <f t="shared" si="169"/>
        <v>162.19000000000011</v>
      </c>
      <c r="D67" s="181" t="s">
        <v>4</v>
      </c>
      <c r="E67" s="182">
        <f>IF(H66="AFIII",VLOOKUP($D67,Sheet1!$A$34:$K$48,5,FALSE),IF(H66="UBIII",VLOOKUP($D67,Sheet1!$A$34:$K$48,8,FALSE),VLOOKUP($D67,Sheet1!$A$34:$K$48,2,FALSE)))</f>
        <v>1.67</v>
      </c>
      <c r="F67" s="182">
        <f>ROUNDDOWN((IF(H66="AFIII",VLOOKUP($D67,Sheet1!$A$34:$K$48,5,FALSE),IF(H66="UBIII",VLOOKUP($D67,Sheet1!$A$34:$K$48,8,FALSE),VLOOKUP($D67,Sheet1!$A$34:$K$48,2,FALSE))))*0.85,2)</f>
        <v>1.41</v>
      </c>
      <c r="G67" s="182">
        <f t="shared" si="180"/>
        <v>2.39</v>
      </c>
      <c r="H67" s="183" t="s">
        <v>84</v>
      </c>
      <c r="I67" s="182">
        <v>10</v>
      </c>
      <c r="K67" s="182">
        <f t="shared" ref="K67:K72" si="184">K66-G67</f>
        <v>17.61</v>
      </c>
      <c r="L67" s="182">
        <f t="shared" si="114"/>
        <v>38.950000000000003</v>
      </c>
      <c r="M67" s="183" t="s">
        <v>135</v>
      </c>
      <c r="O67" s="182">
        <f t="shared" si="178"/>
        <v>-1.0799999999999983</v>
      </c>
      <c r="Q67" s="182">
        <f t="shared" si="182"/>
        <v>15.75</v>
      </c>
      <c r="R67" s="182">
        <f t="shared" si="126"/>
        <v>14.670000000000002</v>
      </c>
      <c r="S67" s="183" t="s">
        <v>217</v>
      </c>
      <c r="T67" s="182">
        <v>30</v>
      </c>
      <c r="U67" s="184">
        <v>90</v>
      </c>
      <c r="V67" s="201">
        <f>IF(H66="AFIII",VLOOKUP(D67,Sheet1!$A$4:$H$18,5,FALSE),IF(H66="UBIII",VLOOKUP(D67,Sheet1!$A$4:$H$18,8,FALSE),IF(H66="",VLOOKUP(D67,Sheet1!$A$4:$H$18,2,FALSE),"0")))</f>
        <v>442</v>
      </c>
      <c r="W67" s="201">
        <f t="shared" si="172"/>
        <v>7033</v>
      </c>
      <c r="X67" s="208">
        <f t="shared" si="173"/>
        <v>11064</v>
      </c>
      <c r="Y67" s="171" t="str">
        <f t="shared" si="174"/>
        <v>SUCCESS</v>
      </c>
      <c r="Z67" s="171" t="str">
        <f t="shared" si="175"/>
        <v>SUCCESS</v>
      </c>
      <c r="AA67" s="185">
        <f t="shared" si="176"/>
        <v>142.12343547690969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504</v>
      </c>
      <c r="B68" s="113">
        <f t="shared" si="39"/>
        <v>23555</v>
      </c>
      <c r="C68" s="118">
        <f t="shared" si="169"/>
        <v>164.62000000000012</v>
      </c>
      <c r="D68" s="181" t="s">
        <v>6</v>
      </c>
      <c r="E68" s="182">
        <f>IF(H67="AFIII",VLOOKUP($D68,Sheet1!$A$34:$K$48,5,FALSE),IF(H67="UBIII",VLOOKUP($D68,Sheet1!$A$34:$K$48,8,FALSE),VLOOKUP($D68,Sheet1!$A$34:$K$48,2,FALSE)))</f>
        <v>2.86</v>
      </c>
      <c r="F68" s="182">
        <f>ROUNDDOWN((IF(H67="AFIII",VLOOKUP($D68,Sheet1!$A$34:$K$48,5,FALSE),IF(H67="UBIII",VLOOKUP($D68,Sheet1!$A$34:$K$48,8,FALSE),VLOOKUP($D68,Sheet1!$A$34:$K$48,2,FALSE))))*0.85,2)</f>
        <v>2.4300000000000002</v>
      </c>
      <c r="G68" s="182">
        <f t="shared" si="180"/>
        <v>2.4300000000000002</v>
      </c>
      <c r="H68" s="183" t="s">
        <v>84</v>
      </c>
      <c r="I68" s="182">
        <f t="shared" ref="I68:I69" si="185">I67-G68</f>
        <v>7.57</v>
      </c>
      <c r="K68" s="182">
        <f t="shared" si="184"/>
        <v>15.18</v>
      </c>
      <c r="L68" s="182">
        <f t="shared" si="114"/>
        <v>36.520000000000003</v>
      </c>
      <c r="O68" s="182">
        <f t="shared" si="178"/>
        <v>-3.5099999999999985</v>
      </c>
      <c r="Q68" s="182">
        <f t="shared" si="182"/>
        <v>13.32</v>
      </c>
      <c r="R68" s="182">
        <f t="shared" si="126"/>
        <v>12.240000000000002</v>
      </c>
      <c r="S68" s="183" t="s">
        <v>217</v>
      </c>
      <c r="T68" s="182">
        <f t="shared" ref="T68:T71" si="186">T67-G68</f>
        <v>27.57</v>
      </c>
      <c r="U68" s="184">
        <f t="shared" si="147"/>
        <v>87.57</v>
      </c>
      <c r="V68" s="201">
        <f>IF(H67="AFIII",VLOOKUP(D68,Sheet1!$A$4:$H$18,5,FALSE),IF(H67="UBIII",VLOOKUP(D68,Sheet1!$A$4:$H$18,8,FALSE),IF(H67="",VLOOKUP(D68,Sheet1!$A$4:$H$18,2,FALSE),"0")))</f>
        <v>1768</v>
      </c>
      <c r="W68" s="201">
        <f t="shared" si="172"/>
        <v>0</v>
      </c>
      <c r="X68" s="208">
        <f t="shared" si="173"/>
        <v>9296</v>
      </c>
      <c r="Y68" s="171" t="str">
        <f t="shared" si="174"/>
        <v>SUCCESS</v>
      </c>
      <c r="Z68" s="171" t="str">
        <f t="shared" si="175"/>
        <v>SUCCESS</v>
      </c>
      <c r="AA68" s="185">
        <f t="shared" si="176"/>
        <v>143.08710970720438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504</v>
      </c>
      <c r="B69" s="113">
        <f t="shared" si="39"/>
        <v>24059</v>
      </c>
      <c r="C69" s="118">
        <f t="shared" si="169"/>
        <v>167.05000000000013</v>
      </c>
      <c r="D69" s="181" t="s">
        <v>6</v>
      </c>
      <c r="E69" s="182">
        <f>IF(H68="AFIII",VLOOKUP($D69,Sheet1!$A$34:$K$48,5,FALSE),IF(H68="UBIII",VLOOKUP($D69,Sheet1!$A$34:$K$48,8,FALSE),VLOOKUP($D69,Sheet1!$A$34:$K$48,2,FALSE)))</f>
        <v>2.86</v>
      </c>
      <c r="F69" s="182">
        <f>ROUNDDOWN((IF(H68="AFIII",VLOOKUP($D69,Sheet1!$A$34:$K$48,5,FALSE),IF(H68="UBIII",VLOOKUP($D69,Sheet1!$A$34:$K$48,8,FALSE),VLOOKUP($D69,Sheet1!$A$34:$K$48,2,FALSE))))*0.85,2)</f>
        <v>2.4300000000000002</v>
      </c>
      <c r="G69" s="182">
        <f t="shared" si="180"/>
        <v>2.4300000000000002</v>
      </c>
      <c r="H69" s="183" t="s">
        <v>84</v>
      </c>
      <c r="I69" s="182">
        <f t="shared" si="185"/>
        <v>5.1400000000000006</v>
      </c>
      <c r="K69" s="182">
        <f t="shared" si="184"/>
        <v>12.75</v>
      </c>
      <c r="L69" s="182">
        <f t="shared" si="114"/>
        <v>34.090000000000003</v>
      </c>
      <c r="Q69" s="182">
        <f t="shared" si="182"/>
        <v>10.89</v>
      </c>
      <c r="R69" s="182">
        <f t="shared" si="126"/>
        <v>9.8100000000000023</v>
      </c>
      <c r="S69" s="183" t="s">
        <v>217</v>
      </c>
      <c r="T69" s="182">
        <f t="shared" si="186"/>
        <v>25.14</v>
      </c>
      <c r="U69" s="184">
        <f t="shared" si="147"/>
        <v>85.139999999999986</v>
      </c>
      <c r="V69" s="201">
        <f>IF(H68="AFIII",VLOOKUP(D69,Sheet1!$A$4:$H$18,5,FALSE),IF(H68="UBIII",VLOOKUP(D69,Sheet1!$A$4:$H$18,8,FALSE),IF(H68="",VLOOKUP(D69,Sheet1!$A$4:$H$18,2,FALSE),"0")))</f>
        <v>1768</v>
      </c>
      <c r="W69" s="201">
        <f t="shared" si="172"/>
        <v>0</v>
      </c>
      <c r="X69" s="208">
        <f t="shared" si="173"/>
        <v>7528</v>
      </c>
      <c r="Y69" s="171" t="str">
        <f t="shared" si="174"/>
        <v>SUCCESS</v>
      </c>
      <c r="Z69" s="171" t="str">
        <f t="shared" si="175"/>
        <v>SUCCESS</v>
      </c>
      <c r="AA69" s="185">
        <f t="shared" si="176"/>
        <v>144.02274768033513</v>
      </c>
    </row>
    <row r="70" spans="1:27">
      <c r="A70" s="112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324</v>
      </c>
      <c r="B70" s="113">
        <f t="shared" si="39"/>
        <v>24383</v>
      </c>
      <c r="C70" s="118">
        <f t="shared" si="169"/>
        <v>169.08000000000013</v>
      </c>
      <c r="D70" s="181" t="s">
        <v>1</v>
      </c>
      <c r="E70" s="182">
        <f>IF(H69="AFIII",VLOOKUP($D70,Sheet1!$A$34:$K$48,5,FALSE),IF(H69="UBIII",VLOOKUP($D70,Sheet1!$A$34:$K$48,8,FALSE),VLOOKUP($D70,Sheet1!$A$34:$K$48,2,FALSE)))</f>
        <v>2.39</v>
      </c>
      <c r="F70" s="182">
        <f>ROUNDDOWN((IF(H69="AFIII",VLOOKUP($D70,Sheet1!$A$34:$K$48,5,FALSE),IF(H69="UBIII",VLOOKUP($D70,Sheet1!$A$34:$K$48,8,FALSE),VLOOKUP($D70,Sheet1!$A$34:$K$48,2,FALSE))))*0.85,2)</f>
        <v>2.0299999999999998</v>
      </c>
      <c r="G70" s="182">
        <f t="shared" si="180"/>
        <v>2.0299999999999998</v>
      </c>
      <c r="H70" s="183" t="s">
        <v>84</v>
      </c>
      <c r="I70" s="182">
        <v>10</v>
      </c>
      <c r="K70" s="182">
        <f t="shared" si="184"/>
        <v>10.72</v>
      </c>
      <c r="L70" s="182">
        <f t="shared" si="114"/>
        <v>32.06</v>
      </c>
      <c r="Q70" s="182">
        <f t="shared" si="182"/>
        <v>8.8600000000000012</v>
      </c>
      <c r="R70" s="182">
        <f t="shared" si="126"/>
        <v>7.7800000000000029</v>
      </c>
      <c r="S70" s="183" t="s">
        <v>217</v>
      </c>
      <c r="T70" s="182">
        <f t="shared" si="186"/>
        <v>23.11</v>
      </c>
      <c r="U70" s="184">
        <f t="shared" si="147"/>
        <v>83.109999999999985</v>
      </c>
      <c r="V70" s="201">
        <f>IF(H69="AFIII",VLOOKUP(D70,Sheet1!$A$4:$H$18,5,FALSE),IF(H69="UBIII",VLOOKUP(D70,Sheet1!$A$4:$H$18,8,FALSE),IF(H69="",VLOOKUP(D70,Sheet1!$A$4:$H$18,2,FALSE),"0")))</f>
        <v>2120</v>
      </c>
      <c r="W70" s="201">
        <f t="shared" si="172"/>
        <v>0</v>
      </c>
      <c r="X70" s="208">
        <f t="shared" si="173"/>
        <v>5408</v>
      </c>
      <c r="Y70" s="171" t="str">
        <f t="shared" si="174"/>
        <v>SUCCESS</v>
      </c>
      <c r="Z70" s="171" t="str">
        <f t="shared" si="175"/>
        <v>SUCCESS</v>
      </c>
      <c r="AA70" s="185">
        <f t="shared" si="176"/>
        <v>144.20984149515013</v>
      </c>
    </row>
    <row r="71" spans="1:27">
      <c r="A71" s="112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504</v>
      </c>
      <c r="B71" s="113">
        <f t="shared" si="39"/>
        <v>24887</v>
      </c>
      <c r="C71" s="118">
        <f t="shared" si="169"/>
        <v>171.51000000000013</v>
      </c>
      <c r="D71" s="181" t="s">
        <v>6</v>
      </c>
      <c r="E71" s="182">
        <f>IF(H70="AFIII",VLOOKUP($D71,Sheet1!$A$34:$K$48,5,FALSE),IF(H70="UBIII",VLOOKUP($D71,Sheet1!$A$34:$K$48,8,FALSE),VLOOKUP($D71,Sheet1!$A$34:$K$48,2,FALSE)))</f>
        <v>2.86</v>
      </c>
      <c r="F71" s="182">
        <f>ROUNDDOWN((IF(H70="AFIII",VLOOKUP($D71,Sheet1!$A$34:$K$48,5,FALSE),IF(H70="UBIII",VLOOKUP($D71,Sheet1!$A$34:$K$48,8,FALSE),VLOOKUP($D71,Sheet1!$A$34:$K$48,2,FALSE))))*0.85,2)</f>
        <v>2.4300000000000002</v>
      </c>
      <c r="G71" s="182">
        <f t="shared" si="180"/>
        <v>2.4300000000000002</v>
      </c>
      <c r="H71" s="183" t="s">
        <v>84</v>
      </c>
      <c r="I71" s="182">
        <f t="shared" ref="I71:I72" si="187">I70-G71</f>
        <v>7.57</v>
      </c>
      <c r="K71" s="182">
        <f t="shared" si="184"/>
        <v>8.2900000000000009</v>
      </c>
      <c r="L71" s="182">
        <f t="shared" si="114"/>
        <v>29.630000000000003</v>
      </c>
      <c r="Q71" s="182">
        <f t="shared" si="182"/>
        <v>6.4300000000000015</v>
      </c>
      <c r="R71" s="182">
        <f>R70-G71</f>
        <v>5.3500000000000032</v>
      </c>
      <c r="S71" s="183" t="s">
        <v>217</v>
      </c>
      <c r="T71" s="182">
        <f t="shared" si="186"/>
        <v>20.68</v>
      </c>
      <c r="U71" s="184">
        <f t="shared" si="147"/>
        <v>80.679999999999978</v>
      </c>
      <c r="V71" s="201">
        <f>IF(H70="AFIII",VLOOKUP(D71,Sheet1!$A$4:$H$18,5,FALSE),IF(H70="UBIII",VLOOKUP(D71,Sheet1!$A$4:$H$18,8,FALSE),IF(H70="",VLOOKUP(D71,Sheet1!$A$4:$H$18,2,FALSE),"0")))</f>
        <v>1768</v>
      </c>
      <c r="W71" s="201">
        <f t="shared" si="172"/>
        <v>0</v>
      </c>
      <c r="X71" s="208">
        <f t="shared" si="173"/>
        <v>3640</v>
      </c>
      <c r="Y71" s="171" t="str">
        <f t="shared" si="174"/>
        <v>SUCCESS</v>
      </c>
      <c r="Z71" s="171" t="str">
        <f t="shared" si="175"/>
        <v>SUCCESS</v>
      </c>
      <c r="AA71" s="185">
        <f t="shared" si="176"/>
        <v>145.10524167687004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504</v>
      </c>
      <c r="B72" s="113">
        <f t="shared" si="39"/>
        <v>25391</v>
      </c>
      <c r="C72" s="118">
        <f t="shared" si="169"/>
        <v>173.94000000000014</v>
      </c>
      <c r="D72" s="181" t="s">
        <v>6</v>
      </c>
      <c r="E72" s="182">
        <f>IF(H71="AFIII",VLOOKUP($D72,Sheet1!$A$34:$K$48,5,FALSE),IF(H71="UBIII",VLOOKUP($D72,Sheet1!$A$34:$K$48,8,FALSE),VLOOKUP($D72,Sheet1!$A$34:$K$48,2,FALSE)))</f>
        <v>2.86</v>
      </c>
      <c r="F72" s="182">
        <f>ROUNDDOWN((IF(H71="AFIII",VLOOKUP($D72,Sheet1!$A$34:$K$48,5,FALSE),IF(H71="UBIII",VLOOKUP($D72,Sheet1!$A$34:$K$48,8,FALSE),VLOOKUP($D72,Sheet1!$A$34:$K$48,2,FALSE))))*0.85,2)</f>
        <v>2.4300000000000002</v>
      </c>
      <c r="G72" s="182">
        <f t="shared" si="180"/>
        <v>2.4300000000000002</v>
      </c>
      <c r="H72" s="183" t="s">
        <v>84</v>
      </c>
      <c r="I72" s="182">
        <f t="shared" si="187"/>
        <v>5.1400000000000006</v>
      </c>
      <c r="K72" s="182">
        <f t="shared" si="184"/>
        <v>5.8600000000000012</v>
      </c>
      <c r="L72" s="182">
        <f t="shared" si="114"/>
        <v>27.200000000000003</v>
      </c>
      <c r="Q72" s="182">
        <f t="shared" si="182"/>
        <v>4.0000000000000018</v>
      </c>
      <c r="R72" s="182">
        <f t="shared" ref="R72" si="188">R71-G72</f>
        <v>2.920000000000003</v>
      </c>
      <c r="S72" s="183" t="s">
        <v>217</v>
      </c>
      <c r="T72" s="182">
        <f t="shared" ref="T72" si="189">T71-G72</f>
        <v>18.25</v>
      </c>
      <c r="U72" s="184">
        <f t="shared" si="147"/>
        <v>78.249999999999972</v>
      </c>
      <c r="V72" s="201">
        <f>IF(H71="AFIII",VLOOKUP(D72,Sheet1!$A$4:$H$18,5,FALSE),IF(H71="UBIII",VLOOKUP(D72,Sheet1!$A$4:$H$18,8,FALSE),IF(H71="",VLOOKUP(D72,Sheet1!$A$4:$H$18,2,FALSE),"0")))</f>
        <v>1768</v>
      </c>
      <c r="W72" s="201">
        <f t="shared" si="172"/>
        <v>0</v>
      </c>
      <c r="X72" s="208">
        <f t="shared" si="173"/>
        <v>1872</v>
      </c>
      <c r="Y72" s="171" t="str">
        <f t="shared" si="174"/>
        <v>SUCCESS</v>
      </c>
      <c r="Z72" s="171" t="str">
        <f t="shared" si="175"/>
        <v>SUCCESS</v>
      </c>
      <c r="AA72" s="185">
        <f t="shared" si="176"/>
        <v>145.97562377831426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168</v>
      </c>
      <c r="B73" s="113">
        <f t="shared" ref="B73:B136" si="190">B72+A73</f>
        <v>25559</v>
      </c>
      <c r="C73" s="118">
        <f t="shared" ref="C73:C96" si="191">C72+G73</f>
        <v>175.97000000000014</v>
      </c>
      <c r="D73" s="181" t="s">
        <v>12</v>
      </c>
      <c r="E73" s="182">
        <f>IF(H72="AFIII",VLOOKUP($D73,Sheet1!$A$34:$K$48,5,FALSE),IF(H72="UBIII",VLOOKUP($D73,Sheet1!$A$34:$K$48,8,FALSE),VLOOKUP($D73,Sheet1!$A$34:$K$48,2,FALSE)))</f>
        <v>1.67</v>
      </c>
      <c r="F73" s="182">
        <f>ROUNDDOWN((IF(H72="AFIII",VLOOKUP($D73,Sheet1!$A$34:$K$48,5,FALSE),IF(H72="UBIII",VLOOKUP($D73,Sheet1!$A$34:$K$48,8,FALSE),VLOOKUP($D73,Sheet1!$A$34:$K$48,2,FALSE))))*0.85,2)</f>
        <v>1.41</v>
      </c>
      <c r="G73" s="182">
        <f t="shared" ref="G73:G90" si="192">IF(M72="迅速",IF(S72="黒魔紋",$F$1,$E$1),IF(S72="黒魔紋",IF(F73&lt;$F$1,$F$1,F73),IF(E73&lt;$E$1,$E$1,E73)))</f>
        <v>2.0299999999999998</v>
      </c>
      <c r="H73" s="183" t="s">
        <v>122</v>
      </c>
      <c r="I73" s="182">
        <v>10</v>
      </c>
      <c r="K73" s="182">
        <f t="shared" ref="K73" si="193">K72-G73</f>
        <v>3.8300000000000014</v>
      </c>
      <c r="L73" s="182">
        <f t="shared" ref="L73:L86" si="194">L72-G73</f>
        <v>25.17</v>
      </c>
      <c r="P73" s="183" t="s">
        <v>136</v>
      </c>
      <c r="Q73" s="182">
        <f t="shared" ref="Q73:Q75" si="195">Q72-G73</f>
        <v>1.970000000000002</v>
      </c>
      <c r="R73" s="182">
        <f t="shared" ref="R73:R74" si="196">R72-G73</f>
        <v>0.89000000000000323</v>
      </c>
      <c r="S73" s="183" t="s">
        <v>217</v>
      </c>
      <c r="T73" s="182">
        <f t="shared" ref="T73:T80" si="197">T72-G73</f>
        <v>16.22</v>
      </c>
      <c r="U73" s="184">
        <f t="shared" ref="U73:U103" si="198">U72-G73</f>
        <v>76.21999999999997</v>
      </c>
      <c r="V73" s="201">
        <f>IF(H72="AFIII",VLOOKUP(D73,Sheet1!$A$4:$H$18,5,FALSE),IF(H72="UBIII",VLOOKUP(D73,Sheet1!$A$4:$H$18,8,FALSE),IF(H72="",VLOOKUP(D73,Sheet1!$A$4:$H$18,2,FALSE),"0")))</f>
        <v>265</v>
      </c>
      <c r="W73" s="201">
        <f t="shared" ref="W73:W136" si="199">IF(H72="UBIII",$X$2,0)</f>
        <v>0</v>
      </c>
      <c r="X73" s="208">
        <f t="shared" ref="X73:X136" si="200">IF(D73="フレア",IF(M73="コンバート",$X$1,0),IF(X72-V73+W73&gt;$X$3,$X$3-V73,X72-V73+W73))</f>
        <v>1607</v>
      </c>
      <c r="Y73" s="171" t="str">
        <f t="shared" ref="Y73:Y136" si="201">IF(X72-V73&lt;0,"ERROR","SUCCESS")</f>
        <v>SUCCESS</v>
      </c>
      <c r="Z73" s="171" t="str">
        <f t="shared" ref="Z73:Z136" si="202">IF(K72-G73&lt;0,"ERROR","SUCCESS")</f>
        <v>SUCCESS</v>
      </c>
      <c r="AA73" s="185">
        <f t="shared" ref="AA73:AA81" si="203">B73/C73</f>
        <v>145.24634880945604</v>
      </c>
    </row>
    <row r="74" spans="1:27">
      <c r="A74" s="119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280</v>
      </c>
      <c r="B74" s="120">
        <f t="shared" si="190"/>
        <v>25839</v>
      </c>
      <c r="C74" s="121">
        <f t="shared" si="191"/>
        <v>178.40000000000015</v>
      </c>
      <c r="D74" s="191" t="s">
        <v>14</v>
      </c>
      <c r="E74" s="192">
        <f>IF(H73="AFIII",VLOOKUP($D74,Sheet1!$A$34:$K$48,5,FALSE),IF(H73="UBIII",VLOOKUP($D74,Sheet1!$A$34:$K$48,8,FALSE),VLOOKUP($D74,Sheet1!$A$34:$K$48,2,FALSE)))</f>
        <v>2.86</v>
      </c>
      <c r="F74" s="192">
        <f>ROUNDDOWN((IF(H73="AFIII",VLOOKUP($D74,Sheet1!$A$34:$K$48,5,FALSE),IF(H73="UBIII",VLOOKUP($D74,Sheet1!$A$34:$K$48,8,FALSE),VLOOKUP($D74,Sheet1!$A$34:$K$48,2,FALSE))))*0.85,2)</f>
        <v>2.4300000000000002</v>
      </c>
      <c r="G74" s="192">
        <f t="shared" si="192"/>
        <v>2.4300000000000002</v>
      </c>
      <c r="H74" s="193" t="s">
        <v>122</v>
      </c>
      <c r="I74" s="192">
        <f t="shared" ref="I74" si="204">I73-G74</f>
        <v>7.57</v>
      </c>
      <c r="J74" s="193"/>
      <c r="K74" s="192">
        <v>15</v>
      </c>
      <c r="L74" s="192">
        <f t="shared" si="194"/>
        <v>22.740000000000002</v>
      </c>
      <c r="M74" s="193"/>
      <c r="N74" s="192"/>
      <c r="O74" s="192"/>
      <c r="P74" s="193"/>
      <c r="Q74" s="192">
        <f t="shared" si="195"/>
        <v>-0.45999999999999819</v>
      </c>
      <c r="R74" s="192">
        <f t="shared" si="196"/>
        <v>-1.5399999999999969</v>
      </c>
      <c r="S74" s="193" t="s">
        <v>217</v>
      </c>
      <c r="T74" s="192">
        <f t="shared" si="197"/>
        <v>13.79</v>
      </c>
      <c r="U74" s="194">
        <f t="shared" si="198"/>
        <v>73.789999999999964</v>
      </c>
      <c r="V74" s="211">
        <f>IF(H73="AFIII",VLOOKUP(D74,Sheet1!$A$4:$H$18,5,FALSE),IF(H73="UBIII",VLOOKUP(D74,Sheet1!$A$4:$H$18,8,FALSE),IF(H73="",VLOOKUP(D74,Sheet1!$A$4:$H$18,2,FALSE),"0")))</f>
        <v>884</v>
      </c>
      <c r="W74" s="211">
        <f t="shared" si="199"/>
        <v>7033</v>
      </c>
      <c r="X74" s="212">
        <f t="shared" si="200"/>
        <v>7756</v>
      </c>
      <c r="Y74" s="195" t="str">
        <f t="shared" si="201"/>
        <v>SUCCESS</v>
      </c>
      <c r="Z74" s="195" t="str">
        <f t="shared" si="202"/>
        <v>SUCCESS</v>
      </c>
      <c r="AA74" s="185">
        <f t="shared" si="203"/>
        <v>144.83744394618822</v>
      </c>
    </row>
    <row r="75" spans="1:27">
      <c r="A75" s="112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168</v>
      </c>
      <c r="B75" s="113">
        <f t="shared" si="190"/>
        <v>26007</v>
      </c>
      <c r="C75" s="118">
        <f t="shared" si="191"/>
        <v>180.43000000000015</v>
      </c>
      <c r="D75" s="181" t="s">
        <v>4</v>
      </c>
      <c r="E75" s="182">
        <f>IF(H74="AFIII",VLOOKUP($D75,Sheet1!$A$34:$K$48,5,FALSE),IF(H74="UBIII",VLOOKUP($D75,Sheet1!$A$34:$K$48,8,FALSE),VLOOKUP($D75,Sheet1!$A$34:$K$48,2,FALSE)))</f>
        <v>1.67</v>
      </c>
      <c r="F75" s="182">
        <f>ROUNDDOWN((IF(H74="AFIII",VLOOKUP($D75,Sheet1!$A$34:$K$48,5,FALSE),IF(H74="UBIII",VLOOKUP($D75,Sheet1!$A$34:$K$48,8,FALSE),VLOOKUP($D75,Sheet1!$A$34:$K$48,2,FALSE))))*0.85,2)</f>
        <v>1.41</v>
      </c>
      <c r="G75" s="182">
        <f t="shared" si="192"/>
        <v>2.0299999999999998</v>
      </c>
      <c r="H75" s="183" t="s">
        <v>84</v>
      </c>
      <c r="I75" s="182">
        <v>10</v>
      </c>
      <c r="K75" s="182">
        <f t="shared" ref="K75:K81" si="205">K74-G75</f>
        <v>12.97</v>
      </c>
      <c r="L75" s="182">
        <f t="shared" si="194"/>
        <v>20.71</v>
      </c>
      <c r="Q75" s="182">
        <f t="shared" si="195"/>
        <v>-2.489999999999998</v>
      </c>
      <c r="S75" s="183" t="s">
        <v>217</v>
      </c>
      <c r="T75" s="182">
        <f t="shared" si="197"/>
        <v>11.76</v>
      </c>
      <c r="U75" s="184">
        <f t="shared" si="198"/>
        <v>71.759999999999962</v>
      </c>
      <c r="V75" s="201">
        <f>IF(H74="AFIII",VLOOKUP(D75,Sheet1!$A$4:$H$18,5,FALSE),IF(H74="UBIII",VLOOKUP(D75,Sheet1!$A$4:$H$18,8,FALSE),IF(H74="",VLOOKUP(D75,Sheet1!$A$4:$H$18,2,FALSE),"0")))</f>
        <v>442</v>
      </c>
      <c r="W75" s="201">
        <f t="shared" si="199"/>
        <v>7033</v>
      </c>
      <c r="X75" s="208">
        <f t="shared" si="200"/>
        <v>11064</v>
      </c>
      <c r="Y75" s="171" t="str">
        <f t="shared" si="201"/>
        <v>SUCCESS</v>
      </c>
      <c r="Z75" s="171" t="str">
        <f t="shared" si="202"/>
        <v>SUCCESS</v>
      </c>
      <c r="AA75" s="185">
        <f t="shared" si="203"/>
        <v>144.13900127473246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504</v>
      </c>
      <c r="B76" s="113">
        <f t="shared" si="190"/>
        <v>26511</v>
      </c>
      <c r="C76" s="118">
        <f t="shared" si="191"/>
        <v>182.86000000000016</v>
      </c>
      <c r="D76" s="181" t="s">
        <v>6</v>
      </c>
      <c r="E76" s="182">
        <f>IF(H75="AFIII",VLOOKUP($D76,Sheet1!$A$34:$K$48,5,FALSE),IF(H75="UBIII",VLOOKUP($D76,Sheet1!$A$34:$K$48,8,FALSE),VLOOKUP($D76,Sheet1!$A$34:$K$48,2,FALSE)))</f>
        <v>2.86</v>
      </c>
      <c r="F76" s="182">
        <f>ROUNDDOWN((IF(H75="AFIII",VLOOKUP($D76,Sheet1!$A$34:$K$48,5,FALSE),IF(H75="UBIII",VLOOKUP($D76,Sheet1!$A$34:$K$48,8,FALSE),VLOOKUP($D76,Sheet1!$A$34:$K$48,2,FALSE))))*0.85,2)</f>
        <v>2.4300000000000002</v>
      </c>
      <c r="G76" s="182">
        <f t="shared" si="192"/>
        <v>2.4300000000000002</v>
      </c>
      <c r="H76" s="183" t="s">
        <v>84</v>
      </c>
      <c r="I76" s="182">
        <f t="shared" ref="I76:I77" si="206">I75-G76</f>
        <v>7.57</v>
      </c>
      <c r="K76" s="182">
        <f t="shared" si="205"/>
        <v>10.540000000000001</v>
      </c>
      <c r="L76" s="182">
        <f t="shared" si="194"/>
        <v>18.28</v>
      </c>
      <c r="S76" s="183" t="s">
        <v>217</v>
      </c>
      <c r="T76" s="182">
        <f t="shared" si="197"/>
        <v>9.33</v>
      </c>
      <c r="U76" s="184">
        <f t="shared" si="198"/>
        <v>69.329999999999956</v>
      </c>
      <c r="V76" s="201">
        <f>IF(H75="AFIII",VLOOKUP(D76,Sheet1!$A$4:$H$18,5,FALSE),IF(H75="UBIII",VLOOKUP(D76,Sheet1!$A$4:$H$18,8,FALSE),IF(H75="",VLOOKUP(D76,Sheet1!$A$4:$H$18,2,FALSE),"0")))</f>
        <v>1768</v>
      </c>
      <c r="W76" s="201">
        <f t="shared" si="199"/>
        <v>0</v>
      </c>
      <c r="X76" s="208">
        <f t="shared" si="200"/>
        <v>9296</v>
      </c>
      <c r="Y76" s="171" t="str">
        <f t="shared" si="201"/>
        <v>SUCCESS</v>
      </c>
      <c r="Z76" s="171" t="str">
        <f t="shared" si="202"/>
        <v>SUCCESS</v>
      </c>
      <c r="AA76" s="185">
        <f t="shared" si="203"/>
        <v>144.97976594115704</v>
      </c>
    </row>
    <row r="77" spans="1:27">
      <c r="A77" s="112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190"/>
        <v>27015</v>
      </c>
      <c r="C77" s="118">
        <f t="shared" si="191"/>
        <v>185.29000000000016</v>
      </c>
      <c r="D77" s="181" t="s">
        <v>6</v>
      </c>
      <c r="E77" s="182">
        <f>IF(H76="AFIII",VLOOKUP($D77,Sheet1!$A$34:$K$48,5,FALSE),IF(H76="UBIII",VLOOKUP($D77,Sheet1!$A$34:$K$48,8,FALSE),VLOOKUP($D77,Sheet1!$A$34:$K$48,2,FALSE)))</f>
        <v>2.86</v>
      </c>
      <c r="F77" s="182">
        <f>ROUNDDOWN((IF(H76="AFIII",VLOOKUP($D77,Sheet1!$A$34:$K$48,5,FALSE),IF(H76="UBIII",VLOOKUP($D77,Sheet1!$A$34:$K$48,8,FALSE),VLOOKUP($D77,Sheet1!$A$34:$K$48,2,FALSE))))*0.85,2)</f>
        <v>2.4300000000000002</v>
      </c>
      <c r="G77" s="182">
        <f t="shared" si="192"/>
        <v>2.4300000000000002</v>
      </c>
      <c r="H77" s="183" t="s">
        <v>84</v>
      </c>
      <c r="I77" s="182">
        <f t="shared" si="206"/>
        <v>5.1400000000000006</v>
      </c>
      <c r="K77" s="182">
        <f t="shared" si="205"/>
        <v>8.1100000000000012</v>
      </c>
      <c r="L77" s="182">
        <f t="shared" si="194"/>
        <v>15.850000000000001</v>
      </c>
      <c r="S77" s="183" t="s">
        <v>217</v>
      </c>
      <c r="T77" s="182">
        <f t="shared" si="197"/>
        <v>6.9</v>
      </c>
      <c r="U77" s="184">
        <f t="shared" si="198"/>
        <v>66.899999999999949</v>
      </c>
      <c r="V77" s="201">
        <f>IF(H76="AFIII",VLOOKUP(D77,Sheet1!$A$4:$H$18,5,FALSE),IF(H76="UBIII",VLOOKUP(D77,Sheet1!$A$4:$H$18,8,FALSE),IF(H76="",VLOOKUP(D77,Sheet1!$A$4:$H$18,2,FALSE),"0")))</f>
        <v>1768</v>
      </c>
      <c r="W77" s="201">
        <f t="shared" si="199"/>
        <v>0</v>
      </c>
      <c r="X77" s="208">
        <f t="shared" si="200"/>
        <v>7528</v>
      </c>
      <c r="Y77" s="171" t="str">
        <f t="shared" si="201"/>
        <v>SUCCESS</v>
      </c>
      <c r="Z77" s="171" t="str">
        <f t="shared" si="202"/>
        <v>SUCCESS</v>
      </c>
      <c r="AA77" s="185">
        <f t="shared" si="203"/>
        <v>145.79847806141711</v>
      </c>
    </row>
    <row r="78" spans="1:27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324</v>
      </c>
      <c r="B78" s="113">
        <f t="shared" si="190"/>
        <v>27339</v>
      </c>
      <c r="C78" s="118">
        <f t="shared" si="191"/>
        <v>187.32000000000016</v>
      </c>
      <c r="D78" s="181" t="s">
        <v>1</v>
      </c>
      <c r="E78" s="182">
        <f>IF(H77="AFIII",VLOOKUP($D78,Sheet1!$A$34:$K$48,5,FALSE),IF(H77="UBIII",VLOOKUP($D78,Sheet1!$A$34:$K$48,8,FALSE),VLOOKUP($D78,Sheet1!$A$34:$K$48,2,FALSE)))</f>
        <v>2.39</v>
      </c>
      <c r="F78" s="182">
        <f>ROUNDDOWN((IF(H77="AFIII",VLOOKUP($D78,Sheet1!$A$34:$K$48,5,FALSE),IF(H77="UBIII",VLOOKUP($D78,Sheet1!$A$34:$K$48,8,FALSE),VLOOKUP($D78,Sheet1!$A$34:$K$48,2,FALSE))))*0.85,2)</f>
        <v>2.0299999999999998</v>
      </c>
      <c r="G78" s="182">
        <f t="shared" si="192"/>
        <v>2.0299999999999998</v>
      </c>
      <c r="H78" s="183" t="s">
        <v>84</v>
      </c>
      <c r="I78" s="182">
        <v>10</v>
      </c>
      <c r="K78" s="182">
        <f t="shared" si="205"/>
        <v>6.0800000000000018</v>
      </c>
      <c r="L78" s="182">
        <f t="shared" si="194"/>
        <v>13.820000000000002</v>
      </c>
      <c r="S78" s="183" t="s">
        <v>217</v>
      </c>
      <c r="T78" s="182">
        <f t="shared" si="197"/>
        <v>4.870000000000001</v>
      </c>
      <c r="U78" s="184">
        <f t="shared" si="198"/>
        <v>64.869999999999948</v>
      </c>
      <c r="V78" s="201">
        <f>IF(H77="AFIII",VLOOKUP(D78,Sheet1!$A$4:$H$18,5,FALSE),IF(H77="UBIII",VLOOKUP(D78,Sheet1!$A$4:$H$18,8,FALSE),IF(H77="",VLOOKUP(D78,Sheet1!$A$4:$H$18,2,FALSE),"0")))</f>
        <v>2120</v>
      </c>
      <c r="W78" s="201">
        <f t="shared" si="199"/>
        <v>0</v>
      </c>
      <c r="X78" s="208">
        <f t="shared" si="200"/>
        <v>5408</v>
      </c>
      <c r="Y78" s="171" t="str">
        <f t="shared" si="201"/>
        <v>SUCCESS</v>
      </c>
      <c r="Z78" s="171" t="str">
        <f t="shared" si="202"/>
        <v>SUCCESS</v>
      </c>
      <c r="AA78" s="185">
        <f t="shared" si="203"/>
        <v>145.94811018577823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504</v>
      </c>
      <c r="B79" s="113">
        <f t="shared" si="190"/>
        <v>27843</v>
      </c>
      <c r="C79" s="118">
        <f t="shared" si="191"/>
        <v>189.75000000000017</v>
      </c>
      <c r="D79" s="181" t="s">
        <v>6</v>
      </c>
      <c r="E79" s="182">
        <f>IF(H78="AFIII",VLOOKUP($D79,Sheet1!$A$34:$K$48,5,FALSE),IF(H78="UBIII",VLOOKUP($D79,Sheet1!$A$34:$K$48,8,FALSE),VLOOKUP($D79,Sheet1!$A$34:$K$48,2,FALSE)))</f>
        <v>2.86</v>
      </c>
      <c r="F79" s="182">
        <f>ROUNDDOWN((IF(H78="AFIII",VLOOKUP($D79,Sheet1!$A$34:$K$48,5,FALSE),IF(H78="UBIII",VLOOKUP($D79,Sheet1!$A$34:$K$48,8,FALSE),VLOOKUP($D79,Sheet1!$A$34:$K$48,2,FALSE))))*0.85,2)</f>
        <v>2.4300000000000002</v>
      </c>
      <c r="G79" s="182">
        <f t="shared" si="192"/>
        <v>2.4300000000000002</v>
      </c>
      <c r="H79" s="183" t="s">
        <v>84</v>
      </c>
      <c r="I79" s="182">
        <f t="shared" ref="I79" si="207">I78-G79</f>
        <v>7.57</v>
      </c>
      <c r="K79" s="182">
        <f t="shared" si="205"/>
        <v>3.6500000000000017</v>
      </c>
      <c r="L79" s="182">
        <f t="shared" si="194"/>
        <v>11.390000000000002</v>
      </c>
      <c r="S79" s="183" t="s">
        <v>217</v>
      </c>
      <c r="T79" s="182">
        <f t="shared" si="197"/>
        <v>2.4400000000000008</v>
      </c>
      <c r="U79" s="184">
        <f t="shared" si="198"/>
        <v>62.439999999999948</v>
      </c>
      <c r="V79" s="201">
        <f>IF(H78="AFIII",VLOOKUP(D79,Sheet1!$A$4:$H$18,5,FALSE),IF(H78="UBIII",VLOOKUP(D79,Sheet1!$A$4:$H$18,8,FALSE),IF(H78="",VLOOKUP(D79,Sheet1!$A$4:$H$18,2,FALSE),"0")))</f>
        <v>1768</v>
      </c>
      <c r="W79" s="201">
        <f t="shared" si="199"/>
        <v>0</v>
      </c>
      <c r="X79" s="208">
        <f t="shared" si="200"/>
        <v>3640</v>
      </c>
      <c r="Y79" s="171" t="str">
        <f t="shared" si="201"/>
        <v>SUCCESS</v>
      </c>
      <c r="Z79" s="171" t="str">
        <f t="shared" si="202"/>
        <v>SUCCESS</v>
      </c>
      <c r="AA79" s="185">
        <f t="shared" si="203"/>
        <v>146.73517786561251</v>
      </c>
    </row>
    <row r="80" spans="1:27">
      <c r="A80" s="112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504</v>
      </c>
      <c r="B80" s="113">
        <f t="shared" si="190"/>
        <v>28347</v>
      </c>
      <c r="C80" s="118">
        <f t="shared" si="191"/>
        <v>192.18000000000018</v>
      </c>
      <c r="D80" s="181" t="s">
        <v>6</v>
      </c>
      <c r="E80" s="182">
        <f>IF(H79="AFIII",VLOOKUP($D80,Sheet1!$A$34:$K$48,5,FALSE),IF(H79="UBIII",VLOOKUP($D80,Sheet1!$A$34:$K$48,8,FALSE),VLOOKUP($D80,Sheet1!$A$34:$K$48,2,FALSE)))</f>
        <v>2.86</v>
      </c>
      <c r="F80" s="182">
        <f>ROUNDDOWN((IF(H79="AFIII",VLOOKUP($D80,Sheet1!$A$34:$K$48,5,FALSE),IF(H79="UBIII",VLOOKUP($D80,Sheet1!$A$34:$K$48,8,FALSE),VLOOKUP($D80,Sheet1!$A$34:$K$48,2,FALSE))))*0.85,2)</f>
        <v>2.4300000000000002</v>
      </c>
      <c r="G80" s="182">
        <f t="shared" si="192"/>
        <v>2.4300000000000002</v>
      </c>
      <c r="H80" s="183" t="s">
        <v>84</v>
      </c>
      <c r="I80" s="182">
        <v>10</v>
      </c>
      <c r="K80" s="182">
        <f t="shared" si="205"/>
        <v>1.2200000000000015</v>
      </c>
      <c r="L80" s="182">
        <f t="shared" si="194"/>
        <v>8.9600000000000026</v>
      </c>
      <c r="T80" s="182">
        <f t="shared" si="197"/>
        <v>1.0000000000000675E-2</v>
      </c>
      <c r="U80" s="184">
        <f t="shared" si="198"/>
        <v>60.009999999999948</v>
      </c>
      <c r="V80" s="201">
        <f>IF(H79="AFIII",VLOOKUP(D80,Sheet1!$A$4:$H$18,5,FALSE),IF(H79="UBIII",VLOOKUP(D80,Sheet1!$A$4:$H$18,8,FALSE),IF(H79="",VLOOKUP(D80,Sheet1!$A$4:$H$18,2,FALSE),"0")))</f>
        <v>1768</v>
      </c>
      <c r="W80" s="201">
        <f t="shared" si="199"/>
        <v>0</v>
      </c>
      <c r="X80" s="208">
        <f t="shared" si="200"/>
        <v>1872</v>
      </c>
      <c r="Y80" s="171" t="str">
        <f t="shared" si="201"/>
        <v>SUCCESS</v>
      </c>
      <c r="Z80" s="171" t="str">
        <f t="shared" si="202"/>
        <v>SUCCESS</v>
      </c>
      <c r="AA80" s="185">
        <f t="shared" si="203"/>
        <v>147.50234155479225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168</v>
      </c>
      <c r="B81" s="113">
        <f t="shared" si="190"/>
        <v>28515</v>
      </c>
      <c r="C81" s="118">
        <f t="shared" si="191"/>
        <v>194.57000000000016</v>
      </c>
      <c r="D81" s="181" t="s">
        <v>12</v>
      </c>
      <c r="E81" s="182">
        <f>IF(H80="AFIII",VLOOKUP($D81,Sheet1!$A$34:$K$48,5,FALSE),IF(H80="UBIII",VLOOKUP($D81,Sheet1!$A$34:$K$48,8,FALSE),VLOOKUP($D81,Sheet1!$A$34:$K$48,2,FALSE)))</f>
        <v>1.67</v>
      </c>
      <c r="F81" s="182">
        <f>ROUNDDOWN((IF(H80="AFIII",VLOOKUP($D81,Sheet1!$A$34:$K$48,5,FALSE),IF(H80="UBIII",VLOOKUP($D81,Sheet1!$A$34:$K$48,8,FALSE),VLOOKUP($D81,Sheet1!$A$34:$K$48,2,FALSE))))*0.85,2)</f>
        <v>1.41</v>
      </c>
      <c r="G81" s="182">
        <f t="shared" si="192"/>
        <v>2.39</v>
      </c>
      <c r="H81" s="183" t="s">
        <v>122</v>
      </c>
      <c r="I81" s="182">
        <v>10</v>
      </c>
      <c r="K81" s="182">
        <f t="shared" si="205"/>
        <v>-1.1699999999999986</v>
      </c>
      <c r="L81" s="182">
        <f t="shared" si="194"/>
        <v>6.5700000000000021</v>
      </c>
      <c r="U81" s="184">
        <f t="shared" si="198"/>
        <v>57.619999999999948</v>
      </c>
      <c r="V81" s="201">
        <f>IF(H80="AFIII",VLOOKUP(D81,Sheet1!$A$4:$H$18,5,FALSE),IF(H80="UBIII",VLOOKUP(D81,Sheet1!$A$4:$H$18,8,FALSE),IF(H80="",VLOOKUP(D81,Sheet1!$A$4:$H$18,2,FALSE),"0")))</f>
        <v>265</v>
      </c>
      <c r="W81" s="201">
        <f t="shared" si="199"/>
        <v>0</v>
      </c>
      <c r="X81" s="208">
        <f t="shared" si="200"/>
        <v>1607</v>
      </c>
      <c r="Y81" s="171" t="str">
        <f t="shared" si="201"/>
        <v>SUCCESS</v>
      </c>
      <c r="Z81" s="171" t="str">
        <f t="shared" si="202"/>
        <v>ERROR</v>
      </c>
      <c r="AA81" s="185">
        <f t="shared" si="203"/>
        <v>146.55393945623672</v>
      </c>
    </row>
    <row r="82" spans="1:27" ht="12.75" thickBot="1">
      <c r="A82" s="116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295</v>
      </c>
      <c r="B82" s="117">
        <f t="shared" si="190"/>
        <v>28810</v>
      </c>
      <c r="C82" s="125">
        <f t="shared" si="191"/>
        <v>197.43000000000018</v>
      </c>
      <c r="D82" s="196" t="s">
        <v>19</v>
      </c>
      <c r="E82" s="197">
        <f>IF(H81="AFIII",VLOOKUP($D82,Sheet1!$A$34:$K$48,5,FALSE),IF(H81="UBIII",VLOOKUP($D82,Sheet1!$A$34:$K$48,8,FALSE),VLOOKUP($D82,Sheet1!$A$34:$K$48,2,FALSE)))</f>
        <v>2.86</v>
      </c>
      <c r="F82" s="197">
        <f>ROUNDDOWN((IF(H81="AFIII",VLOOKUP($D82,Sheet1!$A$34:$K$48,5,FALSE),IF(H81="UBIII",VLOOKUP($D82,Sheet1!$A$34:$K$48,8,FALSE),VLOOKUP($D82,Sheet1!$A$34:$K$48,2,FALSE))))*0.85,2)</f>
        <v>2.4300000000000002</v>
      </c>
      <c r="G82" s="197">
        <f t="shared" si="192"/>
        <v>2.86</v>
      </c>
      <c r="H82" s="198" t="s">
        <v>122</v>
      </c>
      <c r="I82" s="197">
        <f>I81-G82</f>
        <v>7.1400000000000006</v>
      </c>
      <c r="J82" s="198"/>
      <c r="K82" s="197"/>
      <c r="L82" s="197">
        <f t="shared" si="194"/>
        <v>3.7100000000000022</v>
      </c>
      <c r="M82" s="198"/>
      <c r="N82" s="197"/>
      <c r="O82" s="197"/>
      <c r="P82" s="198" t="s">
        <v>17</v>
      </c>
      <c r="Q82" s="197">
        <v>21</v>
      </c>
      <c r="R82" s="197"/>
      <c r="S82" s="198"/>
      <c r="T82" s="197"/>
      <c r="U82" s="199">
        <f t="shared" si="198"/>
        <v>54.759999999999948</v>
      </c>
      <c r="V82" s="206">
        <f>IF(H81="AFIII",VLOOKUP(D82,Sheet1!$A$4:$H$18,5,FALSE),IF(H81="UBIII",VLOOKUP(D82,Sheet1!$A$4:$H$18,8,FALSE),IF(H81="",VLOOKUP(D82,Sheet1!$A$4:$H$18,2,FALSE),"0")))</f>
        <v>1060</v>
      </c>
      <c r="W82" s="206">
        <f t="shared" si="199"/>
        <v>7033</v>
      </c>
      <c r="X82" s="207">
        <f t="shared" si="200"/>
        <v>7580</v>
      </c>
      <c r="Y82" s="180" t="str">
        <f t="shared" si="201"/>
        <v>SUCCESS</v>
      </c>
      <c r="Z82" s="180" t="str">
        <f t="shared" si="202"/>
        <v>ERROR</v>
      </c>
      <c r="AA82" s="185">
        <f>B82/C82</f>
        <v>145.92513802360318</v>
      </c>
    </row>
    <row r="83" spans="1:27" ht="12.75" thickTop="1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168</v>
      </c>
      <c r="B83" s="113">
        <f t="shared" si="190"/>
        <v>28978</v>
      </c>
      <c r="C83" s="118">
        <f t="shared" si="191"/>
        <v>199.82000000000016</v>
      </c>
      <c r="D83" s="200" t="s">
        <v>4</v>
      </c>
      <c r="E83" s="182">
        <f>IF(H82="AFIII",VLOOKUP($D83,Sheet1!$A$34:$K$48,5,FALSE),IF(H82="UBIII",VLOOKUP($D83,Sheet1!$A$34:$K$48,8,FALSE),VLOOKUP($D83,Sheet1!$A$34:$K$48,2,FALSE)))</f>
        <v>1.67</v>
      </c>
      <c r="F83" s="182">
        <f>ROUNDDOWN((IF(H82="AFIII",VLOOKUP($D83,Sheet1!$A$34:$K$48,5,FALSE),IF(H82="UBIII",VLOOKUP($D83,Sheet1!$A$34:$K$48,8,FALSE),VLOOKUP($D83,Sheet1!$A$34:$K$48,2,FALSE))))*0.85,2)</f>
        <v>1.41</v>
      </c>
      <c r="G83" s="182">
        <f t="shared" si="192"/>
        <v>2.39</v>
      </c>
      <c r="H83" s="183" t="s">
        <v>83</v>
      </c>
      <c r="I83" s="182">
        <v>10</v>
      </c>
      <c r="L83" s="182">
        <f t="shared" si="194"/>
        <v>1.3200000000000021</v>
      </c>
      <c r="Q83" s="182">
        <f>Q82-G83</f>
        <v>18.61</v>
      </c>
      <c r="U83" s="184">
        <f t="shared" si="198"/>
        <v>52.369999999999948</v>
      </c>
      <c r="V83" s="213">
        <f>IF(H82="AFIII",VLOOKUP(D83,Sheet1!$A$4:$H$18,5,FALSE),IF(H82="UBIII",VLOOKUP(D83,Sheet1!$A$4:$H$18,8,FALSE),IF(H82="",VLOOKUP(D83,Sheet1!$A$4:$H$18,2,FALSE),"0")))</f>
        <v>442</v>
      </c>
      <c r="W83" s="213">
        <f t="shared" si="199"/>
        <v>7033</v>
      </c>
      <c r="X83" s="214">
        <f t="shared" si="200"/>
        <v>11064</v>
      </c>
      <c r="Y83" s="171" t="str">
        <f t="shared" si="201"/>
        <v>SUCCESS</v>
      </c>
      <c r="Z83" s="171" t="str">
        <f t="shared" si="202"/>
        <v>ERROR</v>
      </c>
      <c r="AA83" s="185">
        <f t="shared" ref="AA83:AA146" si="208">B83/C83</f>
        <v>145.02051846661985</v>
      </c>
    </row>
    <row r="84" spans="1:27">
      <c r="A84" s="112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324</v>
      </c>
      <c r="B84" s="113">
        <f t="shared" si="190"/>
        <v>29302</v>
      </c>
      <c r="C84" s="118">
        <f t="shared" si="191"/>
        <v>202.21000000000015</v>
      </c>
      <c r="D84" s="181" t="s">
        <v>1</v>
      </c>
      <c r="E84" s="182">
        <f>IF(H83="AFIII",VLOOKUP($D84,Sheet1!$A$34:$K$48,5,FALSE),IF(H83="UBIII",VLOOKUP($D84,Sheet1!$A$34:$K$48,8,FALSE),VLOOKUP($D84,Sheet1!$A$34:$K$48,2,FALSE)))</f>
        <v>2.39</v>
      </c>
      <c r="F84" s="182">
        <f>ROUNDDOWN((IF(H83="AFIII",VLOOKUP($D84,Sheet1!$A$34:$K$48,5,FALSE),IF(H83="UBIII",VLOOKUP($D84,Sheet1!$A$34:$K$48,8,FALSE),VLOOKUP($D84,Sheet1!$A$34:$K$48,2,FALSE))))*0.85,2)</f>
        <v>2.0299999999999998</v>
      </c>
      <c r="G84" s="182">
        <f t="shared" si="192"/>
        <v>2.39</v>
      </c>
      <c r="H84" s="183" t="s">
        <v>83</v>
      </c>
      <c r="I84" s="182">
        <f>I83-G84</f>
        <v>7.6099999999999994</v>
      </c>
      <c r="L84" s="182">
        <f t="shared" si="194"/>
        <v>-1.0699999999999981</v>
      </c>
      <c r="Q84" s="182">
        <f t="shared" ref="Q84:Q88" si="209">Q83-G84</f>
        <v>16.22</v>
      </c>
      <c r="U84" s="184">
        <f t="shared" si="198"/>
        <v>49.979999999999947</v>
      </c>
      <c r="V84" s="201">
        <f>IF(H83="AFIII",VLOOKUP(D84,Sheet1!$A$4:$H$18,5,FALSE),IF(H83="UBIII",VLOOKUP(D84,Sheet1!$A$4:$H$18,8,FALSE),IF(H83="",VLOOKUP(D84,Sheet1!$A$4:$H$18,2,FALSE),"0")))</f>
        <v>2120</v>
      </c>
      <c r="W84" s="201">
        <f t="shared" si="199"/>
        <v>0</v>
      </c>
      <c r="X84" s="208">
        <f t="shared" si="200"/>
        <v>8944</v>
      </c>
      <c r="Y84" s="171" t="str">
        <f t="shared" si="201"/>
        <v>SUCCESS</v>
      </c>
      <c r="Z84" s="171" t="str">
        <f t="shared" si="202"/>
        <v>ERROR</v>
      </c>
      <c r="AA84" s="185">
        <f t="shared" si="208"/>
        <v>144.90875822165066</v>
      </c>
    </row>
    <row r="85" spans="1:27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324</v>
      </c>
      <c r="B85" s="113">
        <f t="shared" si="190"/>
        <v>29626</v>
      </c>
      <c r="C85" s="118">
        <f t="shared" si="191"/>
        <v>204.60000000000014</v>
      </c>
      <c r="D85" s="181" t="s">
        <v>1</v>
      </c>
      <c r="E85" s="182">
        <f>IF(H84="AFIII",VLOOKUP($D85,Sheet1!$A$34:$K$48,5,FALSE),IF(H84="UBIII",VLOOKUP($D85,Sheet1!$A$34:$K$48,8,FALSE),VLOOKUP($D85,Sheet1!$A$34:$K$48,2,FALSE)))</f>
        <v>2.39</v>
      </c>
      <c r="F85" s="182">
        <f>ROUNDDOWN((IF(H84="AFIII",VLOOKUP($D85,Sheet1!$A$34:$K$48,5,FALSE),IF(H84="UBIII",VLOOKUP($D85,Sheet1!$A$34:$K$48,8,FALSE),VLOOKUP($D85,Sheet1!$A$34:$K$48,2,FALSE))))*0.85,2)</f>
        <v>2.0299999999999998</v>
      </c>
      <c r="G85" s="182">
        <f t="shared" si="192"/>
        <v>2.39</v>
      </c>
      <c r="H85" s="183" t="s">
        <v>83</v>
      </c>
      <c r="I85" s="182">
        <f>I84-G85</f>
        <v>5.2199999999999989</v>
      </c>
      <c r="L85" s="182">
        <f t="shared" si="194"/>
        <v>-3.4599999999999982</v>
      </c>
      <c r="Q85" s="182">
        <f t="shared" si="209"/>
        <v>13.829999999999998</v>
      </c>
      <c r="U85" s="184">
        <f t="shared" si="198"/>
        <v>47.589999999999947</v>
      </c>
      <c r="V85" s="201">
        <f>IF(H84="AFIII",VLOOKUP(D85,Sheet1!$A$4:$H$18,5,FALSE),IF(H84="UBIII",VLOOKUP(D85,Sheet1!$A$4:$H$18,8,FALSE),IF(H84="",VLOOKUP(D85,Sheet1!$A$4:$H$18,2,FALSE),"0")))</f>
        <v>2120</v>
      </c>
      <c r="W85" s="201">
        <f t="shared" si="199"/>
        <v>0</v>
      </c>
      <c r="X85" s="208">
        <f t="shared" si="200"/>
        <v>6824</v>
      </c>
      <c r="Y85" s="171" t="str">
        <f t="shared" si="201"/>
        <v>SUCCESS</v>
      </c>
      <c r="Z85" s="171" t="str">
        <f t="shared" si="202"/>
        <v>ERROR</v>
      </c>
      <c r="AA85" s="185">
        <f t="shared" si="208"/>
        <v>144.79960899315728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324</v>
      </c>
      <c r="B86" s="113">
        <f t="shared" si="190"/>
        <v>29950</v>
      </c>
      <c r="C86" s="118">
        <f t="shared" si="191"/>
        <v>206.99000000000012</v>
      </c>
      <c r="D86" s="181" t="s">
        <v>1</v>
      </c>
      <c r="E86" s="182">
        <f>IF(H85="AFIII",VLOOKUP($D86,Sheet1!$A$34:$K$48,5,FALSE),IF(H85="UBIII",VLOOKUP($D86,Sheet1!$A$34:$K$48,8,FALSE),VLOOKUP($D86,Sheet1!$A$34:$K$48,2,FALSE)))</f>
        <v>2.39</v>
      </c>
      <c r="F86" s="182">
        <f>ROUNDDOWN((IF(H85="AFIII",VLOOKUP($D86,Sheet1!$A$34:$K$48,5,FALSE),IF(H85="UBIII",VLOOKUP($D86,Sheet1!$A$34:$K$48,8,FALSE),VLOOKUP($D86,Sheet1!$A$34:$K$48,2,FALSE))))*0.85,2)</f>
        <v>2.0299999999999998</v>
      </c>
      <c r="G86" s="182">
        <f t="shared" si="192"/>
        <v>2.39</v>
      </c>
      <c r="H86" s="183" t="s">
        <v>83</v>
      </c>
      <c r="I86" s="182">
        <f>I85-G86</f>
        <v>2.8299999999999987</v>
      </c>
      <c r="L86" s="182">
        <f t="shared" si="194"/>
        <v>-5.8499999999999979</v>
      </c>
      <c r="Q86" s="182">
        <f t="shared" si="209"/>
        <v>11.439999999999998</v>
      </c>
      <c r="U86" s="184">
        <f t="shared" si="198"/>
        <v>45.199999999999946</v>
      </c>
      <c r="V86" s="201">
        <f>IF(H85="AFIII",VLOOKUP(D86,Sheet1!$A$4:$H$18,5,FALSE),IF(H85="UBIII",VLOOKUP(D86,Sheet1!$A$4:$H$18,8,FALSE),IF(H85="",VLOOKUP(D86,Sheet1!$A$4:$H$18,2,FALSE),"0")))</f>
        <v>2120</v>
      </c>
      <c r="W86" s="201">
        <f t="shared" si="199"/>
        <v>0</v>
      </c>
      <c r="X86" s="208">
        <f t="shared" si="200"/>
        <v>4704</v>
      </c>
      <c r="Y86" s="171" t="str">
        <f t="shared" si="201"/>
        <v>SUCCESS</v>
      </c>
      <c r="Z86" s="171" t="str">
        <f t="shared" si="202"/>
        <v>ERROR</v>
      </c>
      <c r="AA86" s="185">
        <f t="shared" si="208"/>
        <v>144.69298033721427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324</v>
      </c>
      <c r="B87" s="113">
        <f t="shared" si="190"/>
        <v>30274</v>
      </c>
      <c r="C87" s="118">
        <f t="shared" si="191"/>
        <v>209.38000000000011</v>
      </c>
      <c r="D87" s="181" t="s">
        <v>1</v>
      </c>
      <c r="E87" s="182">
        <f>IF(H86="AFIII",VLOOKUP($D87,Sheet1!$A$34:$K$48,5,FALSE),IF(H86="UBIII",VLOOKUP($D87,Sheet1!$A$34:$K$48,8,FALSE),VLOOKUP($D87,Sheet1!$A$34:$K$48,2,FALSE)))</f>
        <v>2.39</v>
      </c>
      <c r="F87" s="182">
        <f>ROUNDDOWN((IF(H86="AFIII",VLOOKUP($D87,Sheet1!$A$34:$K$48,5,FALSE),IF(H86="UBIII",VLOOKUP($D87,Sheet1!$A$34:$K$48,8,FALSE),VLOOKUP($D87,Sheet1!$A$34:$K$48,2,FALSE))))*0.85,2)</f>
        <v>2.0299999999999998</v>
      </c>
      <c r="G87" s="182">
        <f t="shared" si="192"/>
        <v>2.39</v>
      </c>
      <c r="H87" s="183" t="s">
        <v>84</v>
      </c>
      <c r="I87" s="182">
        <v>10</v>
      </c>
      <c r="Q87" s="182">
        <f t="shared" si="209"/>
        <v>9.0499999999999972</v>
      </c>
      <c r="U87" s="184">
        <f t="shared" si="198"/>
        <v>42.809999999999945</v>
      </c>
      <c r="V87" s="201">
        <f>IF(H86="AFIII",VLOOKUP(D87,Sheet1!$A$4:$H$18,5,FALSE),IF(H86="UBIII",VLOOKUP(D87,Sheet1!$A$4:$H$18,8,FALSE),IF(H86="",VLOOKUP(D87,Sheet1!$A$4:$H$18,2,FALSE),"0")))</f>
        <v>2120</v>
      </c>
      <c r="W87" s="201">
        <f t="shared" si="199"/>
        <v>0</v>
      </c>
      <c r="X87" s="208">
        <f t="shared" si="200"/>
        <v>2584</v>
      </c>
      <c r="Y87" s="171" t="str">
        <f t="shared" si="201"/>
        <v>SUCCESS</v>
      </c>
      <c r="Z87" s="171" t="str">
        <f t="shared" si="202"/>
        <v>ERROR</v>
      </c>
      <c r="AA87" s="185">
        <f t="shared" si="208"/>
        <v>144.58878593944019</v>
      </c>
    </row>
    <row r="88" spans="1:27">
      <c r="A88" s="112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168</v>
      </c>
      <c r="B88" s="113">
        <f t="shared" si="190"/>
        <v>30442</v>
      </c>
      <c r="C88" s="118">
        <f t="shared" si="191"/>
        <v>211.7700000000001</v>
      </c>
      <c r="D88" s="181" t="s">
        <v>12</v>
      </c>
      <c r="E88" s="182">
        <f>IF(H87="AFIII",VLOOKUP($D88,Sheet1!$A$34:$K$48,5,FALSE),IF(H87="UBIII",VLOOKUP($D88,Sheet1!$A$34:$K$48,8,FALSE),VLOOKUP($D88,Sheet1!$A$34:$K$48,2,FALSE)))</f>
        <v>1.67</v>
      </c>
      <c r="F88" s="182">
        <f>ROUNDDOWN((IF(H87="AFIII",VLOOKUP($D88,Sheet1!$A$34:$K$48,5,FALSE),IF(H87="UBIII",VLOOKUP($D88,Sheet1!$A$34:$K$48,8,FALSE),VLOOKUP($D88,Sheet1!$A$34:$K$48,2,FALSE))))*0.85,2)</f>
        <v>1.41</v>
      </c>
      <c r="G88" s="182">
        <f t="shared" si="192"/>
        <v>2.39</v>
      </c>
      <c r="H88" s="183" t="s">
        <v>121</v>
      </c>
      <c r="I88" s="182">
        <v>10</v>
      </c>
      <c r="Q88" s="182">
        <f t="shared" si="209"/>
        <v>6.6599999999999966</v>
      </c>
      <c r="U88" s="184">
        <f t="shared" si="198"/>
        <v>40.419999999999945</v>
      </c>
      <c r="V88" s="201">
        <f>IF(H87="AFIII",VLOOKUP(D88,Sheet1!$A$4:$H$18,5,FALSE),IF(H87="UBIII",VLOOKUP(D88,Sheet1!$A$4:$H$18,8,FALSE),IF(H87="",VLOOKUP(D88,Sheet1!$A$4:$H$18,2,FALSE),"0")))</f>
        <v>265</v>
      </c>
      <c r="W88" s="201">
        <f t="shared" si="199"/>
        <v>0</v>
      </c>
      <c r="X88" s="208">
        <f t="shared" si="200"/>
        <v>2319</v>
      </c>
      <c r="Y88" s="171" t="str">
        <f t="shared" si="201"/>
        <v>SUCCESS</v>
      </c>
      <c r="Z88" s="171" t="str">
        <f t="shared" si="202"/>
        <v>ERROR</v>
      </c>
      <c r="AA88" s="185">
        <f t="shared" si="208"/>
        <v>143.75029513151054</v>
      </c>
    </row>
    <row r="89" spans="1:27">
      <c r="A89" s="12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295</v>
      </c>
      <c r="B89" s="123">
        <f t="shared" si="190"/>
        <v>30737</v>
      </c>
      <c r="C89" s="124">
        <f t="shared" si="191"/>
        <v>214.63000000000011</v>
      </c>
      <c r="D89" s="186" t="s">
        <v>19</v>
      </c>
      <c r="E89" s="187">
        <f>IF(H88="AFIII",VLOOKUP($D89,Sheet1!$A$34:$K$48,5,FALSE),IF(H88="UBIII",VLOOKUP($D89,Sheet1!$A$34:$K$48,8,FALSE),VLOOKUP($D89,Sheet1!$A$34:$K$48,2,FALSE)))</f>
        <v>2.86</v>
      </c>
      <c r="F89" s="187">
        <f>ROUNDDOWN((IF(H88="AFIII",VLOOKUP($D89,Sheet1!$A$34:$K$48,5,FALSE),IF(H88="UBIII",VLOOKUP($D89,Sheet1!$A$34:$K$48,8,FALSE),VLOOKUP($D89,Sheet1!$A$34:$K$48,2,FALSE))))*0.85,2)</f>
        <v>2.4300000000000002</v>
      </c>
      <c r="G89" s="187">
        <f t="shared" si="192"/>
        <v>2.86</v>
      </c>
      <c r="H89" s="188" t="s">
        <v>121</v>
      </c>
      <c r="I89" s="187">
        <f>I88-G89</f>
        <v>7.1400000000000006</v>
      </c>
      <c r="J89" s="188"/>
      <c r="K89" s="187"/>
      <c r="L89" s="187"/>
      <c r="M89" s="188"/>
      <c r="N89" s="187"/>
      <c r="O89" s="187"/>
      <c r="P89" s="188" t="s">
        <v>16</v>
      </c>
      <c r="Q89" s="187">
        <v>21</v>
      </c>
      <c r="R89" s="187"/>
      <c r="S89" s="188"/>
      <c r="T89" s="187"/>
      <c r="U89" s="189">
        <f t="shared" si="198"/>
        <v>37.559999999999945</v>
      </c>
      <c r="V89" s="209">
        <f>IF(H88="AFIII",VLOOKUP(D89,Sheet1!$A$4:$H$18,5,FALSE),IF(H88="UBIII",VLOOKUP(D89,Sheet1!$A$4:$H$18,8,FALSE),IF(H88="",VLOOKUP(D89,Sheet1!$A$4:$H$18,2,FALSE),"0")))</f>
        <v>1060</v>
      </c>
      <c r="W89" s="209">
        <f t="shared" si="199"/>
        <v>7033</v>
      </c>
      <c r="X89" s="210">
        <f t="shared" si="200"/>
        <v>8292</v>
      </c>
      <c r="Y89" s="190" t="str">
        <f t="shared" si="201"/>
        <v>SUCCESS</v>
      </c>
      <c r="Z89" s="190" t="str">
        <f t="shared" si="202"/>
        <v>ERROR</v>
      </c>
      <c r="AA89" s="185">
        <f t="shared" si="208"/>
        <v>143.20924381493725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168</v>
      </c>
      <c r="B90" s="113">
        <f t="shared" si="190"/>
        <v>30905</v>
      </c>
      <c r="C90" s="118">
        <f t="shared" si="191"/>
        <v>217.0200000000001</v>
      </c>
      <c r="D90" s="181" t="s">
        <v>4</v>
      </c>
      <c r="E90" s="182">
        <f>IF(H89="AFIII",VLOOKUP($D90,Sheet1!$A$34:$K$48,5,FALSE),IF(H89="UBIII",VLOOKUP($D90,Sheet1!$A$34:$K$48,8,FALSE),VLOOKUP($D90,Sheet1!$A$34:$K$48,2,FALSE)))</f>
        <v>1.67</v>
      </c>
      <c r="F90" s="182">
        <f>ROUNDDOWN((IF(H89="AFIII",VLOOKUP($D90,Sheet1!$A$34:$K$48,5,FALSE),IF(H89="UBIII",VLOOKUP($D90,Sheet1!$A$34:$K$48,8,FALSE),VLOOKUP($D90,Sheet1!$A$34:$K$48,2,FALSE))))*0.85,2)</f>
        <v>1.41</v>
      </c>
      <c r="G90" s="182">
        <f t="shared" si="192"/>
        <v>2.39</v>
      </c>
      <c r="H90" s="183" t="s">
        <v>84</v>
      </c>
      <c r="I90" s="182">
        <v>10</v>
      </c>
      <c r="J90" s="183" t="s">
        <v>105</v>
      </c>
      <c r="K90" s="182">
        <v>30</v>
      </c>
      <c r="L90" s="182">
        <v>90</v>
      </c>
      <c r="M90" s="183" t="s">
        <v>96</v>
      </c>
      <c r="N90" s="182">
        <v>20</v>
      </c>
      <c r="O90" s="182">
        <v>180</v>
      </c>
      <c r="Q90" s="182">
        <f>Q89-G90</f>
        <v>18.61</v>
      </c>
      <c r="U90" s="184">
        <f t="shared" si="198"/>
        <v>35.169999999999945</v>
      </c>
      <c r="V90" s="201">
        <f>IF(H89="AFIII",VLOOKUP(D90,Sheet1!$A$4:$H$18,5,FALSE),IF(H89="UBIII",VLOOKUP(D90,Sheet1!$A$4:$H$18,8,FALSE),IF(H89="",VLOOKUP(D90,Sheet1!$A$4:$H$18,2,FALSE),"0")))</f>
        <v>442</v>
      </c>
      <c r="W90" s="201">
        <f t="shared" si="199"/>
        <v>7033</v>
      </c>
      <c r="X90" s="208">
        <f t="shared" si="200"/>
        <v>11064</v>
      </c>
      <c r="Y90" s="171" t="str">
        <f t="shared" si="201"/>
        <v>SUCCESS</v>
      </c>
      <c r="Z90" s="171" t="str">
        <f t="shared" si="202"/>
        <v>ERROR</v>
      </c>
      <c r="AA90" s="185">
        <f t="shared" si="208"/>
        <v>142.40622984056762</v>
      </c>
    </row>
    <row r="91" spans="1:27">
      <c r="A91" s="11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604</v>
      </c>
      <c r="B91" s="113">
        <f t="shared" si="190"/>
        <v>31509</v>
      </c>
      <c r="C91" s="118">
        <f t="shared" si="191"/>
        <v>219.88000000000011</v>
      </c>
      <c r="D91" s="181" t="s">
        <v>6</v>
      </c>
      <c r="E91" s="182">
        <f>IF(H90="AFIII",VLOOKUP($D91,Sheet1!$A$34:$K$48,5,FALSE),IF(H90="UBIII",VLOOKUP($D91,Sheet1!$A$34:$K$48,8,FALSE),VLOOKUP($D91,Sheet1!$A$34:$K$48,2,FALSE)))</f>
        <v>2.86</v>
      </c>
      <c r="F91" s="182">
        <f>ROUNDDOWN((IF(H90="AFIII",VLOOKUP($D91,Sheet1!$A$34:$K$48,5,FALSE),IF(H90="UBIII",VLOOKUP($D91,Sheet1!$A$34:$K$48,8,FALSE),VLOOKUP($D91,Sheet1!$A$34:$K$48,2,FALSE))))*0.85,2)</f>
        <v>2.4300000000000002</v>
      </c>
      <c r="G91" s="182">
        <f>IF(M90="迅速",IF(S90="黒魔紋",$F$1,$E$1),IF(S90="黒魔紋",IF(F91&lt;$F$1,$F$1,F91),IF(E91&lt;$E$1,$E$1,E91)))</f>
        <v>2.86</v>
      </c>
      <c r="H91" s="183" t="s">
        <v>84</v>
      </c>
      <c r="I91" s="182">
        <f>I90-G91</f>
        <v>7.1400000000000006</v>
      </c>
      <c r="K91" s="182">
        <f>K90-G91</f>
        <v>27.14</v>
      </c>
      <c r="L91" s="182">
        <f>L90-G91</f>
        <v>87.14</v>
      </c>
      <c r="N91" s="182">
        <f>N90-G91</f>
        <v>17.14</v>
      </c>
      <c r="Q91" s="182">
        <f t="shared" ref="Q91:Q99" si="210">Q90-G91</f>
        <v>15.75</v>
      </c>
      <c r="U91" s="184">
        <f t="shared" si="198"/>
        <v>32.309999999999945</v>
      </c>
      <c r="V91" s="201">
        <f>IF(H90="AFIII",VLOOKUP(D91,Sheet1!$A$4:$H$18,5,FALSE),IF(H90="UBIII",VLOOKUP(D91,Sheet1!$A$4:$H$18,8,FALSE),IF(H90="",VLOOKUP(D91,Sheet1!$A$4:$H$18,2,FALSE),"0")))</f>
        <v>1768</v>
      </c>
      <c r="W91" s="201">
        <f t="shared" si="199"/>
        <v>0</v>
      </c>
      <c r="X91" s="208">
        <f t="shared" si="200"/>
        <v>9296</v>
      </c>
      <c r="Y91" s="171" t="str">
        <f t="shared" si="201"/>
        <v>SUCCESS</v>
      </c>
      <c r="Z91" s="171" t="str">
        <f t="shared" si="202"/>
        <v>SUCCESS</v>
      </c>
      <c r="AA91" s="185">
        <f t="shared" si="208"/>
        <v>143.30089139530645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604</v>
      </c>
      <c r="B92" s="113">
        <f t="shared" si="190"/>
        <v>32113</v>
      </c>
      <c r="C92" s="118">
        <f t="shared" si="191"/>
        <v>222.74000000000012</v>
      </c>
      <c r="D92" s="181" t="s">
        <v>6</v>
      </c>
      <c r="E92" s="182">
        <f>IF(H91="AFIII",VLOOKUP($D92,Sheet1!$A$34:$K$48,5,FALSE),IF(H91="UBIII",VLOOKUP($D92,Sheet1!$A$34:$K$48,8,FALSE),VLOOKUP($D92,Sheet1!$A$34:$K$48,2,FALSE)))</f>
        <v>2.86</v>
      </c>
      <c r="F92" s="182">
        <f>ROUNDDOWN((IF(H91="AFIII",VLOOKUP($D92,Sheet1!$A$34:$K$48,5,FALSE),IF(H91="UBIII",VLOOKUP($D92,Sheet1!$A$34:$K$48,8,FALSE),VLOOKUP($D92,Sheet1!$A$34:$K$48,2,FALSE))))*0.85,2)</f>
        <v>2.4300000000000002</v>
      </c>
      <c r="G92" s="182">
        <f t="shared" ref="G92:G141" si="211">IF(M91="迅速",IF(S91="黒魔紋",$F$1,$E$1),IF(S91="黒魔紋",IF(F92&lt;$F$1,$F$1,F92),IF(E92&lt;$E$1,$E$1,E92)))</f>
        <v>2.86</v>
      </c>
      <c r="H92" s="183" t="s">
        <v>84</v>
      </c>
      <c r="I92" s="182">
        <f t="shared" ref="I92" si="212">I91-G92</f>
        <v>4.2800000000000011</v>
      </c>
      <c r="K92" s="182">
        <f t="shared" ref="K92:K93" si="213">K91-G92</f>
        <v>24.28</v>
      </c>
      <c r="L92" s="182">
        <f t="shared" ref="L92:L93" si="214">L91-G92</f>
        <v>84.28</v>
      </c>
      <c r="N92" s="182">
        <f>N91-G92</f>
        <v>14.280000000000001</v>
      </c>
      <c r="Q92" s="182">
        <f t="shared" si="210"/>
        <v>12.89</v>
      </c>
      <c r="U92" s="184">
        <f t="shared" si="198"/>
        <v>29.449999999999946</v>
      </c>
      <c r="V92" s="201">
        <f>IF(H91="AFIII",VLOOKUP(D92,Sheet1!$A$4:$H$18,5,FALSE),IF(H91="UBIII",VLOOKUP(D92,Sheet1!$A$4:$H$18,8,FALSE),IF(H91="",VLOOKUP(D92,Sheet1!$A$4:$H$18,2,FALSE),"0")))</f>
        <v>1768</v>
      </c>
      <c r="W92" s="201">
        <f t="shared" si="199"/>
        <v>0</v>
      </c>
      <c r="X92" s="208">
        <f t="shared" si="200"/>
        <v>7528</v>
      </c>
      <c r="Y92" s="171" t="str">
        <f t="shared" si="201"/>
        <v>SUCCESS</v>
      </c>
      <c r="Z92" s="171" t="str">
        <f t="shared" si="202"/>
        <v>SUCCESS</v>
      </c>
      <c r="AA92" s="185">
        <f t="shared" si="208"/>
        <v>144.17257789350805</v>
      </c>
    </row>
    <row r="93" spans="1:27">
      <c r="A93" s="112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388</v>
      </c>
      <c r="B93" s="113">
        <f t="shared" si="190"/>
        <v>32501</v>
      </c>
      <c r="C93" s="118">
        <f t="shared" si="191"/>
        <v>225.13000000000011</v>
      </c>
      <c r="D93" s="181" t="s">
        <v>1</v>
      </c>
      <c r="E93" s="182">
        <f>IF(H92="AFIII",VLOOKUP($D93,Sheet1!$A$34:$K$48,5,FALSE),IF(H92="UBIII",VLOOKUP($D93,Sheet1!$A$34:$K$48,8,FALSE),VLOOKUP($D93,Sheet1!$A$34:$K$48,2,FALSE)))</f>
        <v>2.39</v>
      </c>
      <c r="F93" s="182">
        <f>ROUNDDOWN((IF(H92="AFIII",VLOOKUP($D93,Sheet1!$A$34:$K$48,5,FALSE),IF(H92="UBIII",VLOOKUP($D93,Sheet1!$A$34:$K$48,8,FALSE),VLOOKUP($D93,Sheet1!$A$34:$K$48,2,FALSE))))*0.85,2)</f>
        <v>2.0299999999999998</v>
      </c>
      <c r="G93" s="182">
        <f t="shared" si="211"/>
        <v>2.39</v>
      </c>
      <c r="H93" s="183" t="s">
        <v>84</v>
      </c>
      <c r="I93" s="182">
        <v>10</v>
      </c>
      <c r="K93" s="182">
        <f t="shared" si="213"/>
        <v>21.89</v>
      </c>
      <c r="L93" s="182">
        <f t="shared" si="214"/>
        <v>81.89</v>
      </c>
      <c r="N93" s="182">
        <f t="shared" ref="N93" si="215">N92-G93</f>
        <v>11.89</v>
      </c>
      <c r="Q93" s="182">
        <f t="shared" si="210"/>
        <v>10.5</v>
      </c>
      <c r="U93" s="184">
        <f t="shared" si="198"/>
        <v>27.059999999999945</v>
      </c>
      <c r="V93" s="201">
        <f>IF(H92="AFIII",VLOOKUP(D93,Sheet1!$A$4:$H$18,5,FALSE),IF(H92="UBIII",VLOOKUP(D93,Sheet1!$A$4:$H$18,8,FALSE),IF(H92="",VLOOKUP(D93,Sheet1!$A$4:$H$18,2,FALSE),"0")))</f>
        <v>2120</v>
      </c>
      <c r="W93" s="201">
        <f t="shared" si="199"/>
        <v>0</v>
      </c>
      <c r="X93" s="208">
        <f t="shared" si="200"/>
        <v>5408</v>
      </c>
      <c r="Y93" s="171" t="str">
        <f t="shared" si="201"/>
        <v>SUCCESS</v>
      </c>
      <c r="Z93" s="171" t="str">
        <f t="shared" si="202"/>
        <v>SUCCESS</v>
      </c>
      <c r="AA93" s="185">
        <f t="shared" si="208"/>
        <v>144.36547772398163</v>
      </c>
    </row>
    <row r="94" spans="1:27">
      <c r="A94" s="112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604</v>
      </c>
      <c r="B94" s="113">
        <f t="shared" si="190"/>
        <v>33105</v>
      </c>
      <c r="C94" s="118">
        <f t="shared" si="191"/>
        <v>227.99000000000012</v>
      </c>
      <c r="D94" s="181" t="s">
        <v>6</v>
      </c>
      <c r="E94" s="182">
        <f>IF(H93="AFIII",VLOOKUP($D94,Sheet1!$A$34:$K$48,5,FALSE),IF(H93="UBIII",VLOOKUP($D94,Sheet1!$A$34:$K$48,8,FALSE),VLOOKUP($D94,Sheet1!$A$34:$K$48,2,FALSE)))</f>
        <v>2.86</v>
      </c>
      <c r="F94" s="182">
        <f>ROUNDDOWN((IF(H93="AFIII",VLOOKUP($D94,Sheet1!$A$34:$K$48,5,FALSE),IF(H93="UBIII",VLOOKUP($D94,Sheet1!$A$34:$K$48,8,FALSE),VLOOKUP($D94,Sheet1!$A$34:$K$48,2,FALSE))))*0.85,2)</f>
        <v>2.4300000000000002</v>
      </c>
      <c r="G94" s="182">
        <f t="shared" si="211"/>
        <v>2.86</v>
      </c>
      <c r="H94" s="183" t="s">
        <v>84</v>
      </c>
      <c r="I94" s="182">
        <f>I93-G94</f>
        <v>7.1400000000000006</v>
      </c>
      <c r="K94" s="182">
        <f>K93-G94</f>
        <v>19.03</v>
      </c>
      <c r="L94" s="182">
        <f>L93-G94</f>
        <v>79.03</v>
      </c>
      <c r="N94" s="182">
        <f>N93-G94</f>
        <v>9.0300000000000011</v>
      </c>
      <c r="Q94" s="182">
        <f t="shared" si="210"/>
        <v>7.6400000000000006</v>
      </c>
      <c r="U94" s="184">
        <f t="shared" si="198"/>
        <v>24.199999999999946</v>
      </c>
      <c r="V94" s="201">
        <f>IF(H93="AFIII",VLOOKUP(D94,Sheet1!$A$4:$H$18,5,FALSE),IF(H93="UBIII",VLOOKUP(D94,Sheet1!$A$4:$H$18,8,FALSE),IF(H93="",VLOOKUP(D94,Sheet1!$A$4:$H$18,2,FALSE),"0")))</f>
        <v>1768</v>
      </c>
      <c r="W94" s="201">
        <f t="shared" si="199"/>
        <v>0</v>
      </c>
      <c r="X94" s="208">
        <f t="shared" si="200"/>
        <v>3640</v>
      </c>
      <c r="Y94" s="171" t="str">
        <f t="shared" si="201"/>
        <v>SUCCESS</v>
      </c>
      <c r="Z94" s="171" t="str">
        <f t="shared" si="202"/>
        <v>SUCCESS</v>
      </c>
      <c r="AA94" s="185">
        <f t="shared" si="208"/>
        <v>145.20373700600896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604</v>
      </c>
      <c r="B95" s="113">
        <f t="shared" si="190"/>
        <v>33709</v>
      </c>
      <c r="C95" s="118">
        <f t="shared" si="191"/>
        <v>230.85000000000014</v>
      </c>
      <c r="D95" s="181" t="s">
        <v>6</v>
      </c>
      <c r="E95" s="182">
        <f>IF(H94="AFIII",VLOOKUP($D95,Sheet1!$A$34:$K$48,5,FALSE),IF(H94="UBIII",VLOOKUP($D95,Sheet1!$A$34:$K$48,8,FALSE),VLOOKUP($D95,Sheet1!$A$34:$K$48,2,FALSE)))</f>
        <v>2.86</v>
      </c>
      <c r="F95" s="182">
        <f>ROUNDDOWN((IF(H94="AFIII",VLOOKUP($D95,Sheet1!$A$34:$K$48,5,FALSE),IF(H94="UBIII",VLOOKUP($D95,Sheet1!$A$34:$K$48,8,FALSE),VLOOKUP($D95,Sheet1!$A$34:$K$48,2,FALSE))))*0.85,2)</f>
        <v>2.4300000000000002</v>
      </c>
      <c r="G95" s="182">
        <f t="shared" si="211"/>
        <v>2.86</v>
      </c>
      <c r="H95" s="183" t="s">
        <v>84</v>
      </c>
      <c r="I95" s="182">
        <f>I94-G95</f>
        <v>4.2800000000000011</v>
      </c>
      <c r="K95" s="182">
        <f t="shared" ref="K95:K100" si="216">K94-G95</f>
        <v>16.170000000000002</v>
      </c>
      <c r="L95" s="182">
        <f t="shared" ref="L95:L126" si="217">L94-G95</f>
        <v>76.17</v>
      </c>
      <c r="M95" s="183" t="s">
        <v>102</v>
      </c>
      <c r="N95" s="182">
        <f t="shared" ref="N95:N99" si="218">N94-G95</f>
        <v>6.1700000000000017</v>
      </c>
      <c r="O95" s="182">
        <v>60</v>
      </c>
      <c r="Q95" s="182">
        <f t="shared" si="210"/>
        <v>4.7800000000000011</v>
      </c>
      <c r="U95" s="184">
        <f t="shared" si="198"/>
        <v>21.339999999999947</v>
      </c>
      <c r="V95" s="201">
        <f>IF(H94="AFIII",VLOOKUP(D95,Sheet1!$A$4:$H$18,5,FALSE),IF(H94="UBIII",VLOOKUP(D95,Sheet1!$A$4:$H$18,8,FALSE),IF(H94="",VLOOKUP(D95,Sheet1!$A$4:$H$18,2,FALSE),"0")))</f>
        <v>1768</v>
      </c>
      <c r="W95" s="201">
        <f t="shared" si="199"/>
        <v>0</v>
      </c>
      <c r="X95" s="208">
        <f t="shared" si="200"/>
        <v>1872</v>
      </c>
      <c r="Y95" s="171" t="str">
        <f t="shared" si="201"/>
        <v>SUCCESS</v>
      </c>
      <c r="Z95" s="171" t="str">
        <f t="shared" si="202"/>
        <v>SUCCESS</v>
      </c>
      <c r="AA95" s="185">
        <f t="shared" si="208"/>
        <v>146.02122590426674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561</v>
      </c>
      <c r="B96" s="113">
        <f t="shared" si="190"/>
        <v>34270</v>
      </c>
      <c r="C96" s="118">
        <f t="shared" si="191"/>
        <v>233.24000000000012</v>
      </c>
      <c r="D96" s="181" t="s">
        <v>10</v>
      </c>
      <c r="E96" s="182">
        <f>IF(H95="AFIII",VLOOKUP($D96,Sheet1!$A$34:$K$48,5,FALSE),IF(H95="UBIII",VLOOKUP($D96,Sheet1!$A$34:$K$48,8,FALSE),VLOOKUP($D96,Sheet1!$A$34:$K$48,2,FALSE)))</f>
        <v>3.82</v>
      </c>
      <c r="F96" s="182">
        <f>ROUNDDOWN((IF(H95="AFIII",VLOOKUP($D96,Sheet1!$A$34:$K$48,5,FALSE),IF(H95="UBIII",VLOOKUP($D96,Sheet1!$A$34:$K$48,8,FALSE),VLOOKUP($D96,Sheet1!$A$34:$K$48,2,FALSE))))*0.85,2)</f>
        <v>3.24</v>
      </c>
      <c r="G96" s="182">
        <f t="shared" si="211"/>
        <v>2.39</v>
      </c>
      <c r="H96" s="183" t="s">
        <v>84</v>
      </c>
      <c r="I96" s="182">
        <v>10</v>
      </c>
      <c r="K96" s="182">
        <f t="shared" si="216"/>
        <v>13.780000000000001</v>
      </c>
      <c r="L96" s="182">
        <f t="shared" si="217"/>
        <v>73.78</v>
      </c>
      <c r="M96" s="183" t="s">
        <v>100</v>
      </c>
      <c r="N96" s="182">
        <f t="shared" si="218"/>
        <v>3.7800000000000016</v>
      </c>
      <c r="O96" s="182">
        <v>180</v>
      </c>
      <c r="P96" s="183" t="s">
        <v>133</v>
      </c>
      <c r="Q96" s="182">
        <f t="shared" si="210"/>
        <v>2.390000000000001</v>
      </c>
      <c r="R96" s="182">
        <v>60</v>
      </c>
      <c r="U96" s="184">
        <f t="shared" si="198"/>
        <v>18.949999999999946</v>
      </c>
      <c r="V96" s="201">
        <f>IF(H95="AFIII",VLOOKUP(D96,Sheet1!$A$4:$H$18,5,FALSE),IF(H95="UBIII",VLOOKUP(D96,Sheet1!$A$4:$H$18,8,FALSE),IF(H95="",VLOOKUP(D96,Sheet1!$A$4:$H$18,2,FALSE),"0")))</f>
        <v>884</v>
      </c>
      <c r="W96" s="201">
        <f t="shared" si="199"/>
        <v>0</v>
      </c>
      <c r="X96" s="208">
        <f t="shared" si="200"/>
        <v>3451</v>
      </c>
      <c r="Y96" s="171" t="str">
        <f t="shared" si="201"/>
        <v>SUCCESS</v>
      </c>
      <c r="Z96" s="171" t="str">
        <f t="shared" si="202"/>
        <v>SUCCESS</v>
      </c>
      <c r="AA96" s="185">
        <f t="shared" si="208"/>
        <v>146.93020065168918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388</v>
      </c>
      <c r="B97" s="113">
        <f t="shared" si="190"/>
        <v>34658</v>
      </c>
      <c r="C97" s="118">
        <f>C96+G97</f>
        <v>235.63000000000011</v>
      </c>
      <c r="D97" s="181" t="s">
        <v>1</v>
      </c>
      <c r="E97" s="182">
        <f>IF(H96="AFIII",VLOOKUP($D97,Sheet1!$A$34:$K$48,5,FALSE),IF(H96="UBIII",VLOOKUP($D97,Sheet1!$A$34:$K$48,8,FALSE),VLOOKUP($D97,Sheet1!$A$34:$K$48,2,FALSE)))</f>
        <v>2.39</v>
      </c>
      <c r="F97" s="182">
        <f>ROUNDDOWN((IF(H96="AFIII",VLOOKUP($D97,Sheet1!$A$34:$K$48,5,FALSE),IF(H96="UBIII",VLOOKUP($D97,Sheet1!$A$34:$K$48,8,FALSE),VLOOKUP($D97,Sheet1!$A$34:$K$48,2,FALSE))))*0.85,2)</f>
        <v>2.0299999999999998</v>
      </c>
      <c r="G97" s="182">
        <f t="shared" si="211"/>
        <v>2.39</v>
      </c>
      <c r="H97" s="183" t="s">
        <v>84</v>
      </c>
      <c r="I97" s="182">
        <v>10</v>
      </c>
      <c r="K97" s="182">
        <f t="shared" si="216"/>
        <v>11.39</v>
      </c>
      <c r="L97" s="182">
        <f t="shared" si="217"/>
        <v>71.39</v>
      </c>
      <c r="N97" s="182">
        <f t="shared" si="218"/>
        <v>1.3900000000000015</v>
      </c>
      <c r="Q97" s="182">
        <f t="shared" si="210"/>
        <v>0</v>
      </c>
      <c r="R97" s="182">
        <f>R96-G97</f>
        <v>57.61</v>
      </c>
      <c r="U97" s="184">
        <f t="shared" si="198"/>
        <v>16.559999999999945</v>
      </c>
      <c r="V97" s="201">
        <f>IF(H96="AFIII",VLOOKUP(D97,Sheet1!$A$4:$H$18,5,FALSE),IF(H96="UBIII",VLOOKUP(D97,Sheet1!$A$4:$H$18,8,FALSE),IF(H96="",VLOOKUP(D97,Sheet1!$A$4:$H$18,2,FALSE),"0")))</f>
        <v>2120</v>
      </c>
      <c r="W97" s="201">
        <f t="shared" si="199"/>
        <v>0</v>
      </c>
      <c r="X97" s="208">
        <f t="shared" si="200"/>
        <v>1331</v>
      </c>
      <c r="Y97" s="171" t="str">
        <f t="shared" si="201"/>
        <v>SUCCESS</v>
      </c>
      <c r="Z97" s="171" t="str">
        <f t="shared" si="202"/>
        <v>SUCCESS</v>
      </c>
      <c r="AA97" s="185">
        <f t="shared" si="208"/>
        <v>147.08653397275381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432</v>
      </c>
      <c r="B98" s="113">
        <f t="shared" si="190"/>
        <v>35090</v>
      </c>
      <c r="C98" s="118">
        <f t="shared" ref="C98:C125" si="219">C97+G98</f>
        <v>238.0200000000001</v>
      </c>
      <c r="D98" s="181" t="s">
        <v>129</v>
      </c>
      <c r="E98" s="182">
        <f>IF(H97="AFIII",VLOOKUP($D98,Sheet1!$A$34:$K$48,5,FALSE),IF(H97="UBIII",VLOOKUP($D98,Sheet1!$A$34:$K$48,8,FALSE),VLOOKUP($D98,Sheet1!$A$34:$K$48,2,FALSE)))</f>
        <v>2.39</v>
      </c>
      <c r="F98" s="182">
        <f>ROUNDDOWN((IF(H97="AFIII",VLOOKUP($D98,Sheet1!$A$34:$K$48,5,FALSE),IF(H97="UBIII",VLOOKUP($D98,Sheet1!$A$34:$K$48,8,FALSE),VLOOKUP($D98,Sheet1!$A$34:$K$48,2,FALSE))))*0.85,2)</f>
        <v>2.0299999999999998</v>
      </c>
      <c r="G98" s="182">
        <f t="shared" si="211"/>
        <v>2.39</v>
      </c>
      <c r="H98" s="183" t="s">
        <v>84</v>
      </c>
      <c r="I98" s="182">
        <v>10</v>
      </c>
      <c r="K98" s="182">
        <f t="shared" si="216"/>
        <v>9</v>
      </c>
      <c r="L98" s="182">
        <f t="shared" si="217"/>
        <v>69</v>
      </c>
      <c r="M98" s="183" t="s">
        <v>140</v>
      </c>
      <c r="N98" s="182">
        <f t="shared" si="218"/>
        <v>-0.99999999999999867</v>
      </c>
      <c r="Q98" s="182">
        <f t="shared" si="210"/>
        <v>-2.39</v>
      </c>
      <c r="R98" s="182">
        <f t="shared" ref="R98:R113" si="220">R97-G98</f>
        <v>55.22</v>
      </c>
      <c r="U98" s="184">
        <f t="shared" si="198"/>
        <v>14.169999999999945</v>
      </c>
      <c r="V98" s="201">
        <f>IF(H97="AFIII",VLOOKUP(D98,Sheet1!$A$4:$H$18,5,FALSE),IF(H97="UBIII",VLOOKUP(D98,Sheet1!$A$4:$H$18,8,FALSE),IF(H97="",VLOOKUP(D98,Sheet1!$A$4:$H$18,2,FALSE),"0")))</f>
        <v>0</v>
      </c>
      <c r="W98" s="201">
        <f t="shared" si="199"/>
        <v>0</v>
      </c>
      <c r="X98" s="208">
        <f t="shared" si="200"/>
        <v>1331</v>
      </c>
      <c r="Y98" s="171" t="str">
        <f t="shared" si="201"/>
        <v>SUCCESS</v>
      </c>
      <c r="Z98" s="171" t="str">
        <f t="shared" si="202"/>
        <v>SUCCESS</v>
      </c>
      <c r="AA98" s="185">
        <f t="shared" si="208"/>
        <v>147.42458616922943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168</v>
      </c>
      <c r="B99" s="113">
        <f t="shared" si="190"/>
        <v>35258</v>
      </c>
      <c r="C99" s="118">
        <f t="shared" si="219"/>
        <v>240.41000000000008</v>
      </c>
      <c r="D99" s="181" t="s">
        <v>12</v>
      </c>
      <c r="E99" s="182">
        <f>IF(H98="AFIII",VLOOKUP($D99,Sheet1!$A$34:$K$48,5,FALSE),IF(H98="UBIII",VLOOKUP($D99,Sheet1!$A$34:$K$48,8,FALSE),VLOOKUP($D99,Sheet1!$A$34:$K$48,2,FALSE)))</f>
        <v>1.67</v>
      </c>
      <c r="F99" s="182">
        <f>ROUNDDOWN((IF(H98="AFIII",VLOOKUP($D99,Sheet1!$A$34:$K$48,5,FALSE),IF(H98="UBIII",VLOOKUP($D99,Sheet1!$A$34:$K$48,8,FALSE),VLOOKUP($D99,Sheet1!$A$34:$K$48,2,FALSE))))*0.85,2)</f>
        <v>1.41</v>
      </c>
      <c r="G99" s="182">
        <f t="shared" si="211"/>
        <v>2.39</v>
      </c>
      <c r="H99" s="183" t="s">
        <v>122</v>
      </c>
      <c r="I99" s="182">
        <v>10</v>
      </c>
      <c r="K99" s="182">
        <f t="shared" si="216"/>
        <v>6.6099999999999994</v>
      </c>
      <c r="L99" s="182">
        <f t="shared" si="217"/>
        <v>66.61</v>
      </c>
      <c r="N99" s="182">
        <f t="shared" si="218"/>
        <v>-3.3899999999999988</v>
      </c>
      <c r="O99" s="182">
        <f>O95-G96-G97-G99-G98</f>
        <v>50.44</v>
      </c>
      <c r="Q99" s="182">
        <f t="shared" si="210"/>
        <v>-4.78</v>
      </c>
      <c r="R99" s="182">
        <f t="shared" si="220"/>
        <v>52.83</v>
      </c>
      <c r="U99" s="184">
        <f t="shared" si="198"/>
        <v>11.779999999999944</v>
      </c>
      <c r="V99" s="201">
        <f>IF(H98="AFIII",VLOOKUP(D99,Sheet1!$A$4:$H$18,5,FALSE),IF(H98="UBIII",VLOOKUP(D99,Sheet1!$A$4:$H$18,8,FALSE),IF(H98="",VLOOKUP(D99,Sheet1!$A$4:$H$18,2,FALSE),"0")))</f>
        <v>265</v>
      </c>
      <c r="W99" s="201">
        <f t="shared" si="199"/>
        <v>0</v>
      </c>
      <c r="X99" s="208">
        <f t="shared" si="200"/>
        <v>1066</v>
      </c>
      <c r="Y99" s="171" t="str">
        <f t="shared" si="201"/>
        <v>SUCCESS</v>
      </c>
      <c r="Z99" s="171" t="str">
        <f t="shared" si="202"/>
        <v>SUCCESS</v>
      </c>
      <c r="AA99" s="185">
        <f t="shared" si="208"/>
        <v>146.65779293706581</v>
      </c>
    </row>
    <row r="100" spans="1:27">
      <c r="A100" s="112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295</v>
      </c>
      <c r="B100" s="113">
        <f t="shared" si="190"/>
        <v>35553</v>
      </c>
      <c r="C100" s="118">
        <f t="shared" si="219"/>
        <v>243.2700000000001</v>
      </c>
      <c r="D100" s="181" t="s">
        <v>19</v>
      </c>
      <c r="E100" s="182">
        <f>IF(H99="AFIII",VLOOKUP($D100,Sheet1!$A$34:$K$48,5,FALSE),IF(H99="UBIII",VLOOKUP($D100,Sheet1!$A$34:$K$48,8,FALSE),VLOOKUP($D100,Sheet1!$A$34:$K$48,2,FALSE)))</f>
        <v>2.86</v>
      </c>
      <c r="F100" s="182">
        <f>ROUNDDOWN((IF(H99="AFIII",VLOOKUP($D100,Sheet1!$A$34:$K$48,5,FALSE),IF(H99="UBIII",VLOOKUP($D100,Sheet1!$A$34:$K$48,8,FALSE),VLOOKUP($D100,Sheet1!$A$34:$K$48,2,FALSE))))*0.85,2)</f>
        <v>2.4300000000000002</v>
      </c>
      <c r="G100" s="182">
        <f t="shared" si="211"/>
        <v>2.86</v>
      </c>
      <c r="H100" s="183" t="s">
        <v>122</v>
      </c>
      <c r="I100" s="182">
        <f>I99-G100</f>
        <v>7.1400000000000006</v>
      </c>
      <c r="K100" s="182">
        <f t="shared" si="216"/>
        <v>3.7499999999999996</v>
      </c>
      <c r="L100" s="182">
        <f t="shared" si="217"/>
        <v>63.75</v>
      </c>
      <c r="O100" s="182">
        <f>O99-G100</f>
        <v>47.58</v>
      </c>
      <c r="P100" s="183" t="s">
        <v>17</v>
      </c>
      <c r="Q100" s="182">
        <v>21</v>
      </c>
      <c r="R100" s="182">
        <f t="shared" si="220"/>
        <v>49.97</v>
      </c>
      <c r="U100" s="184">
        <f t="shared" si="198"/>
        <v>8.9199999999999449</v>
      </c>
      <c r="V100" s="201">
        <f>IF(H99="AFIII",VLOOKUP(D100,Sheet1!$A$4:$H$18,5,FALSE),IF(H99="UBIII",VLOOKUP(D100,Sheet1!$A$4:$H$18,8,FALSE),IF(H99="",VLOOKUP(D100,Sheet1!$A$4:$H$18,2,FALSE),"0")))</f>
        <v>1060</v>
      </c>
      <c r="W100" s="201">
        <f t="shared" si="199"/>
        <v>7033</v>
      </c>
      <c r="X100" s="208">
        <f t="shared" si="200"/>
        <v>7039</v>
      </c>
      <c r="Y100" s="171" t="str">
        <f t="shared" si="201"/>
        <v>SUCCESS</v>
      </c>
      <c r="Z100" s="171" t="str">
        <f t="shared" si="202"/>
        <v>SUCCESS</v>
      </c>
      <c r="AA100" s="185">
        <f t="shared" si="208"/>
        <v>146.14625724503631</v>
      </c>
    </row>
    <row r="101" spans="1:27">
      <c r="A101" s="119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280</v>
      </c>
      <c r="B101" s="120">
        <f t="shared" si="190"/>
        <v>35833</v>
      </c>
      <c r="C101" s="121">
        <f t="shared" si="219"/>
        <v>246.13000000000011</v>
      </c>
      <c r="D101" s="191" t="s">
        <v>14</v>
      </c>
      <c r="E101" s="192">
        <f>IF(H100="AFIII",VLOOKUP($D101,Sheet1!$A$34:$K$48,5,FALSE),IF(H100="UBIII",VLOOKUP($D101,Sheet1!$A$34:$K$48,8,FALSE),VLOOKUP($D101,Sheet1!$A$34:$K$48,2,FALSE)))</f>
        <v>2.86</v>
      </c>
      <c r="F101" s="192">
        <f>ROUNDDOWN((IF(H100="AFIII",VLOOKUP($D101,Sheet1!$A$34:$K$48,5,FALSE),IF(H100="UBIII",VLOOKUP($D101,Sheet1!$A$34:$K$48,8,FALSE),VLOOKUP($D101,Sheet1!$A$34:$K$48,2,FALSE))))*0.85,2)</f>
        <v>2.4300000000000002</v>
      </c>
      <c r="G101" s="192">
        <f t="shared" si="211"/>
        <v>2.86</v>
      </c>
      <c r="H101" s="193" t="s">
        <v>122</v>
      </c>
      <c r="I101" s="192">
        <f t="shared" ref="I101" si="221">I100-G101</f>
        <v>4.2800000000000011</v>
      </c>
      <c r="J101" s="193"/>
      <c r="K101" s="192">
        <v>25</v>
      </c>
      <c r="L101" s="192">
        <f t="shared" si="217"/>
        <v>60.89</v>
      </c>
      <c r="M101" s="193"/>
      <c r="N101" s="192"/>
      <c r="O101" s="192">
        <f t="shared" ref="O101:O116" si="222">O100-G101</f>
        <v>44.72</v>
      </c>
      <c r="P101" s="193"/>
      <c r="Q101" s="192">
        <f>Q100-G101</f>
        <v>18.14</v>
      </c>
      <c r="R101" s="192">
        <f t="shared" si="220"/>
        <v>47.11</v>
      </c>
      <c r="S101" s="193"/>
      <c r="T101" s="192"/>
      <c r="U101" s="194">
        <f t="shared" si="198"/>
        <v>6.0599999999999454</v>
      </c>
      <c r="V101" s="211">
        <f>IF(H100="AFIII",VLOOKUP(D101,Sheet1!$A$4:$H$18,5,FALSE),IF(H100="UBIII",VLOOKUP(D101,Sheet1!$A$4:$H$18,8,FALSE),IF(H100="",VLOOKUP(D101,Sheet1!$A$4:$H$18,2,FALSE),"0")))</f>
        <v>884</v>
      </c>
      <c r="W101" s="211">
        <f t="shared" si="199"/>
        <v>7033</v>
      </c>
      <c r="X101" s="212">
        <f t="shared" si="200"/>
        <v>10622</v>
      </c>
      <c r="Y101" s="195" t="str">
        <f t="shared" si="201"/>
        <v>SUCCESS</v>
      </c>
      <c r="Z101" s="195" t="str">
        <f t="shared" si="202"/>
        <v>SUCCESS</v>
      </c>
      <c r="AA101" s="185">
        <f t="shared" si="208"/>
        <v>145.58566611140446</v>
      </c>
    </row>
    <row r="102" spans="1:27">
      <c r="A102" s="112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168</v>
      </c>
      <c r="B102" s="113">
        <f t="shared" si="190"/>
        <v>36001</v>
      </c>
      <c r="C102" s="118">
        <f t="shared" si="219"/>
        <v>248.5200000000001</v>
      </c>
      <c r="D102" s="181" t="s">
        <v>4</v>
      </c>
      <c r="E102" s="182">
        <f>IF(H101="AFIII",VLOOKUP($D102,Sheet1!$A$34:$K$48,5,FALSE),IF(H101="UBIII",VLOOKUP($D102,Sheet1!$A$34:$K$48,8,FALSE),VLOOKUP($D102,Sheet1!$A$34:$K$48,2,FALSE)))</f>
        <v>1.67</v>
      </c>
      <c r="F102" s="182">
        <f>ROUNDDOWN((IF(H101="AFIII",VLOOKUP($D102,Sheet1!$A$34:$K$48,5,FALSE),IF(H101="UBIII",VLOOKUP($D102,Sheet1!$A$34:$K$48,8,FALSE),VLOOKUP($D102,Sheet1!$A$34:$K$48,2,FALSE))))*0.85,2)</f>
        <v>1.41</v>
      </c>
      <c r="G102" s="182">
        <f t="shared" si="211"/>
        <v>2.39</v>
      </c>
      <c r="H102" s="183" t="s">
        <v>84</v>
      </c>
      <c r="I102" s="182">
        <v>10</v>
      </c>
      <c r="K102" s="182">
        <f>K101-G102</f>
        <v>22.61</v>
      </c>
      <c r="L102" s="182">
        <f t="shared" si="217"/>
        <v>58.5</v>
      </c>
      <c r="O102" s="182">
        <f t="shared" si="222"/>
        <v>42.33</v>
      </c>
      <c r="Q102" s="182">
        <f>Q101-G102</f>
        <v>15.75</v>
      </c>
      <c r="R102" s="182">
        <f t="shared" si="220"/>
        <v>44.72</v>
      </c>
      <c r="U102" s="184">
        <f t="shared" si="198"/>
        <v>3.6699999999999453</v>
      </c>
      <c r="V102" s="201">
        <f>IF(H101="AFIII",VLOOKUP(D102,Sheet1!$A$4:$H$18,5,FALSE),IF(H101="UBIII",VLOOKUP(D102,Sheet1!$A$4:$H$18,8,FALSE),IF(H101="",VLOOKUP(D102,Sheet1!$A$4:$H$18,2,FALSE),"0")))</f>
        <v>442</v>
      </c>
      <c r="W102" s="201">
        <f t="shared" si="199"/>
        <v>7033</v>
      </c>
      <c r="X102" s="208">
        <f t="shared" si="200"/>
        <v>11064</v>
      </c>
      <c r="Y102" s="171" t="str">
        <f t="shared" si="201"/>
        <v>SUCCESS</v>
      </c>
      <c r="Z102" s="171" t="str">
        <f t="shared" si="202"/>
        <v>SUCCESS</v>
      </c>
      <c r="AA102" s="185">
        <f t="shared" si="208"/>
        <v>144.86158055689677</v>
      </c>
    </row>
    <row r="103" spans="1:27">
      <c r="A103" s="112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504</v>
      </c>
      <c r="B103" s="113">
        <f t="shared" si="190"/>
        <v>36505</v>
      </c>
      <c r="C103" s="118">
        <f t="shared" si="219"/>
        <v>251.38000000000011</v>
      </c>
      <c r="D103" s="181" t="s">
        <v>6</v>
      </c>
      <c r="E103" s="182">
        <f>IF(H102="AFIII",VLOOKUP($D103,Sheet1!$A$34:$K$48,5,FALSE),IF(H102="UBIII",VLOOKUP($D103,Sheet1!$A$34:$K$48,8,FALSE),VLOOKUP($D103,Sheet1!$A$34:$K$48,2,FALSE)))</f>
        <v>2.86</v>
      </c>
      <c r="F103" s="182">
        <f>ROUNDDOWN((IF(H102="AFIII",VLOOKUP($D103,Sheet1!$A$34:$K$48,5,FALSE),IF(H102="UBIII",VLOOKUP($D103,Sheet1!$A$34:$K$48,8,FALSE),VLOOKUP($D103,Sheet1!$A$34:$K$48,2,FALSE))))*0.85,2)</f>
        <v>2.4300000000000002</v>
      </c>
      <c r="G103" s="182">
        <f t="shared" si="211"/>
        <v>2.86</v>
      </c>
      <c r="H103" s="183" t="s">
        <v>84</v>
      </c>
      <c r="I103" s="182">
        <f>I102-G103</f>
        <v>7.1400000000000006</v>
      </c>
      <c r="K103" s="182">
        <f t="shared" ref="K103:K109" si="223">K102-G103</f>
        <v>19.75</v>
      </c>
      <c r="L103" s="182">
        <f t="shared" si="217"/>
        <v>55.64</v>
      </c>
      <c r="O103" s="182">
        <f t="shared" si="222"/>
        <v>39.47</v>
      </c>
      <c r="Q103" s="182">
        <f t="shared" ref="Q103:Q108" si="224">Q102-G103</f>
        <v>12.89</v>
      </c>
      <c r="R103" s="182">
        <f t="shared" si="220"/>
        <v>41.86</v>
      </c>
      <c r="U103" s="184">
        <f t="shared" si="198"/>
        <v>0.80999999999994543</v>
      </c>
      <c r="V103" s="201">
        <f>IF(H102="AFIII",VLOOKUP(D103,Sheet1!$A$4:$H$18,5,FALSE),IF(H102="UBIII",VLOOKUP(D103,Sheet1!$A$4:$H$18,8,FALSE),IF(H102="",VLOOKUP(D103,Sheet1!$A$4:$H$18,2,FALSE),"0")))</f>
        <v>1768</v>
      </c>
      <c r="W103" s="201">
        <f t="shared" si="199"/>
        <v>0</v>
      </c>
      <c r="X103" s="208">
        <f t="shared" si="200"/>
        <v>9296</v>
      </c>
      <c r="Y103" s="171" t="str">
        <f t="shared" si="201"/>
        <v>SUCCESS</v>
      </c>
      <c r="Z103" s="171" t="str">
        <f t="shared" si="202"/>
        <v>SUCCESS</v>
      </c>
      <c r="AA103" s="185">
        <f t="shared" si="208"/>
        <v>145.21839446256658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504</v>
      </c>
      <c r="B104" s="113">
        <f t="shared" si="190"/>
        <v>37009</v>
      </c>
      <c r="C104" s="118">
        <f t="shared" si="219"/>
        <v>254.24000000000012</v>
      </c>
      <c r="D104" s="181" t="s">
        <v>6</v>
      </c>
      <c r="E104" s="182">
        <f>IF(H103="AFIII",VLOOKUP($D104,Sheet1!$A$34:$K$48,5,FALSE),IF(H103="UBIII",VLOOKUP($D104,Sheet1!$A$34:$K$48,8,FALSE),VLOOKUP($D104,Sheet1!$A$34:$K$48,2,FALSE)))</f>
        <v>2.86</v>
      </c>
      <c r="F104" s="182">
        <f>ROUNDDOWN((IF(H103="AFIII",VLOOKUP($D104,Sheet1!$A$34:$K$48,5,FALSE),IF(H103="UBIII",VLOOKUP($D104,Sheet1!$A$34:$K$48,8,FALSE),VLOOKUP($D104,Sheet1!$A$34:$K$48,2,FALSE))))*0.85,2)</f>
        <v>2.4300000000000002</v>
      </c>
      <c r="G104" s="182">
        <f t="shared" si="211"/>
        <v>2.86</v>
      </c>
      <c r="H104" s="183" t="s">
        <v>84</v>
      </c>
      <c r="I104" s="182">
        <f>I103-G104</f>
        <v>4.2800000000000011</v>
      </c>
      <c r="K104" s="182">
        <f t="shared" si="223"/>
        <v>16.89</v>
      </c>
      <c r="L104" s="182">
        <f t="shared" si="217"/>
        <v>52.78</v>
      </c>
      <c r="O104" s="182">
        <f t="shared" si="222"/>
        <v>36.61</v>
      </c>
      <c r="Q104" s="182">
        <f t="shared" si="224"/>
        <v>10.030000000000001</v>
      </c>
      <c r="R104" s="182">
        <f t="shared" si="220"/>
        <v>39</v>
      </c>
      <c r="V104" s="201">
        <f>IF(H103="AFIII",VLOOKUP(D104,Sheet1!$A$4:$H$18,5,FALSE),IF(H103="UBIII",VLOOKUP(D104,Sheet1!$A$4:$H$18,8,FALSE),IF(H103="",VLOOKUP(D104,Sheet1!$A$4:$H$18,2,FALSE),"0")))</f>
        <v>1768</v>
      </c>
      <c r="W104" s="201">
        <f t="shared" si="199"/>
        <v>0</v>
      </c>
      <c r="X104" s="208">
        <f t="shared" si="200"/>
        <v>7528</v>
      </c>
      <c r="Y104" s="171" t="str">
        <f t="shared" si="201"/>
        <v>SUCCESS</v>
      </c>
      <c r="Z104" s="171" t="str">
        <f t="shared" si="202"/>
        <v>SUCCESS</v>
      </c>
      <c r="AA104" s="185">
        <f t="shared" si="208"/>
        <v>145.56718061674002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324</v>
      </c>
      <c r="B105" s="113">
        <f t="shared" si="190"/>
        <v>37333</v>
      </c>
      <c r="C105" s="118">
        <f t="shared" si="219"/>
        <v>256.63000000000011</v>
      </c>
      <c r="D105" s="181" t="s">
        <v>1</v>
      </c>
      <c r="E105" s="182">
        <f>IF(H104="AFIII",VLOOKUP($D105,Sheet1!$A$34:$K$48,5,FALSE),IF(H104="UBIII",VLOOKUP($D105,Sheet1!$A$34:$K$48,8,FALSE),VLOOKUP($D105,Sheet1!$A$34:$K$48,2,FALSE)))</f>
        <v>2.39</v>
      </c>
      <c r="F105" s="182">
        <f>ROUNDDOWN((IF(H104="AFIII",VLOOKUP($D105,Sheet1!$A$34:$K$48,5,FALSE),IF(H104="UBIII",VLOOKUP($D105,Sheet1!$A$34:$K$48,8,FALSE),VLOOKUP($D105,Sheet1!$A$34:$K$48,2,FALSE))))*0.85,2)</f>
        <v>2.0299999999999998</v>
      </c>
      <c r="G105" s="182">
        <f t="shared" si="211"/>
        <v>2.39</v>
      </c>
      <c r="H105" s="183" t="s">
        <v>84</v>
      </c>
      <c r="I105" s="182">
        <v>10</v>
      </c>
      <c r="K105" s="182">
        <f t="shared" si="223"/>
        <v>14.5</v>
      </c>
      <c r="L105" s="182">
        <f t="shared" si="217"/>
        <v>50.39</v>
      </c>
      <c r="O105" s="182">
        <f t="shared" si="222"/>
        <v>34.22</v>
      </c>
      <c r="Q105" s="182">
        <f t="shared" si="224"/>
        <v>7.6400000000000006</v>
      </c>
      <c r="R105" s="182">
        <f t="shared" si="220"/>
        <v>36.61</v>
      </c>
      <c r="V105" s="201">
        <f>IF(H104="AFIII",VLOOKUP(D105,Sheet1!$A$4:$H$18,5,FALSE),IF(H104="UBIII",VLOOKUP(D105,Sheet1!$A$4:$H$18,8,FALSE),IF(H104="",VLOOKUP(D105,Sheet1!$A$4:$H$18,2,FALSE),"0")))</f>
        <v>2120</v>
      </c>
      <c r="W105" s="201">
        <f t="shared" si="199"/>
        <v>0</v>
      </c>
      <c r="X105" s="208">
        <f t="shared" si="200"/>
        <v>5408</v>
      </c>
      <c r="Y105" s="171" t="str">
        <f t="shared" si="201"/>
        <v>SUCCESS</v>
      </c>
      <c r="Z105" s="171" t="str">
        <f t="shared" si="202"/>
        <v>SUCCESS</v>
      </c>
      <c r="AA105" s="185">
        <f t="shared" si="208"/>
        <v>145.47402875735489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504</v>
      </c>
      <c r="B106" s="113">
        <f t="shared" si="190"/>
        <v>37837</v>
      </c>
      <c r="C106" s="118">
        <f t="shared" si="219"/>
        <v>259.49000000000012</v>
      </c>
      <c r="D106" s="181" t="s">
        <v>6</v>
      </c>
      <c r="E106" s="182">
        <f>IF(H105="AFIII",VLOOKUP($D106,Sheet1!$A$34:$K$48,5,FALSE),IF(H105="UBIII",VLOOKUP($D106,Sheet1!$A$34:$K$48,8,FALSE),VLOOKUP($D106,Sheet1!$A$34:$K$48,2,FALSE)))</f>
        <v>2.86</v>
      </c>
      <c r="F106" s="182">
        <f>ROUNDDOWN((IF(H105="AFIII",VLOOKUP($D106,Sheet1!$A$34:$K$48,5,FALSE),IF(H105="UBIII",VLOOKUP($D106,Sheet1!$A$34:$K$48,8,FALSE),VLOOKUP($D106,Sheet1!$A$34:$K$48,2,FALSE))))*0.85,2)</f>
        <v>2.4300000000000002</v>
      </c>
      <c r="G106" s="182">
        <f t="shared" si="211"/>
        <v>2.86</v>
      </c>
      <c r="H106" s="183" t="s">
        <v>84</v>
      </c>
      <c r="I106" s="182">
        <f>I105-G106</f>
        <v>7.1400000000000006</v>
      </c>
      <c r="K106" s="182">
        <f t="shared" si="223"/>
        <v>11.64</v>
      </c>
      <c r="L106" s="182">
        <f t="shared" si="217"/>
        <v>47.53</v>
      </c>
      <c r="O106" s="182">
        <f t="shared" si="222"/>
        <v>31.36</v>
      </c>
      <c r="Q106" s="182">
        <f t="shared" si="224"/>
        <v>4.7800000000000011</v>
      </c>
      <c r="R106" s="182">
        <f t="shared" si="220"/>
        <v>33.75</v>
      </c>
      <c r="V106" s="201">
        <f>IF(H105="AFIII",VLOOKUP(D106,Sheet1!$A$4:$H$18,5,FALSE),IF(H105="UBIII",VLOOKUP(D106,Sheet1!$A$4:$H$18,8,FALSE),IF(H105="",VLOOKUP(D106,Sheet1!$A$4:$H$18,2,FALSE),"0")))</f>
        <v>1768</v>
      </c>
      <c r="W106" s="201">
        <f t="shared" si="199"/>
        <v>0</v>
      </c>
      <c r="X106" s="208">
        <f t="shared" si="200"/>
        <v>3640</v>
      </c>
      <c r="Y106" s="171" t="str">
        <f t="shared" si="201"/>
        <v>SUCCESS</v>
      </c>
      <c r="Z106" s="171" t="str">
        <f t="shared" si="202"/>
        <v>SUCCESS</v>
      </c>
      <c r="AA106" s="185">
        <f t="shared" si="208"/>
        <v>145.81294076843031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504</v>
      </c>
      <c r="B107" s="113">
        <f t="shared" si="190"/>
        <v>38341</v>
      </c>
      <c r="C107" s="118">
        <f t="shared" si="219"/>
        <v>262.35000000000014</v>
      </c>
      <c r="D107" s="181" t="s">
        <v>6</v>
      </c>
      <c r="E107" s="182">
        <f>IF(H106="AFIII",VLOOKUP($D107,Sheet1!$A$34:$K$48,5,FALSE),IF(H106="UBIII",VLOOKUP($D107,Sheet1!$A$34:$K$48,8,FALSE),VLOOKUP($D107,Sheet1!$A$34:$K$48,2,FALSE)))</f>
        <v>2.86</v>
      </c>
      <c r="F107" s="182">
        <f>ROUNDDOWN((IF(H106="AFIII",VLOOKUP($D107,Sheet1!$A$34:$K$48,5,FALSE),IF(H106="UBIII",VLOOKUP($D107,Sheet1!$A$34:$K$48,8,FALSE),VLOOKUP($D107,Sheet1!$A$34:$K$48,2,FALSE))))*0.85,2)</f>
        <v>2.4300000000000002</v>
      </c>
      <c r="G107" s="182">
        <f t="shared" si="211"/>
        <v>2.86</v>
      </c>
      <c r="H107" s="183" t="s">
        <v>84</v>
      </c>
      <c r="I107" s="182">
        <f>I106-G107</f>
        <v>4.2800000000000011</v>
      </c>
      <c r="K107" s="182">
        <f t="shared" si="223"/>
        <v>8.7800000000000011</v>
      </c>
      <c r="L107" s="182">
        <f t="shared" si="217"/>
        <v>44.67</v>
      </c>
      <c r="O107" s="182">
        <f t="shared" si="222"/>
        <v>28.5</v>
      </c>
      <c r="Q107" s="182">
        <f t="shared" si="224"/>
        <v>1.9200000000000013</v>
      </c>
      <c r="R107" s="182">
        <f t="shared" si="220"/>
        <v>30.89</v>
      </c>
      <c r="V107" s="201">
        <f>IF(H106="AFIII",VLOOKUP(D107,Sheet1!$A$4:$H$18,5,FALSE),IF(H106="UBIII",VLOOKUP(D107,Sheet1!$A$4:$H$18,8,FALSE),IF(H106="",VLOOKUP(D107,Sheet1!$A$4:$H$18,2,FALSE),"0")))</f>
        <v>1768</v>
      </c>
      <c r="W107" s="201">
        <f t="shared" si="199"/>
        <v>0</v>
      </c>
      <c r="X107" s="208">
        <f t="shared" si="200"/>
        <v>1872</v>
      </c>
      <c r="Y107" s="171" t="str">
        <f t="shared" si="201"/>
        <v>SUCCESS</v>
      </c>
      <c r="Z107" s="171" t="str">
        <f t="shared" si="202"/>
        <v>SUCCESS</v>
      </c>
      <c r="AA107" s="185">
        <f t="shared" si="208"/>
        <v>146.14446350295398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168</v>
      </c>
      <c r="B108" s="113">
        <f t="shared" si="190"/>
        <v>38509</v>
      </c>
      <c r="C108" s="118">
        <f t="shared" si="219"/>
        <v>264.74000000000012</v>
      </c>
      <c r="D108" s="181" t="s">
        <v>12</v>
      </c>
      <c r="E108" s="182">
        <f>IF(H107="AFIII",VLOOKUP($D108,Sheet1!$A$34:$K$48,5,FALSE),IF(H107="UBIII",VLOOKUP($D108,Sheet1!$A$34:$K$48,8,FALSE),VLOOKUP($D108,Sheet1!$A$34:$K$48,2,FALSE)))</f>
        <v>1.67</v>
      </c>
      <c r="F108" s="182">
        <f>ROUNDDOWN((IF(H107="AFIII",VLOOKUP($D108,Sheet1!$A$34:$K$48,5,FALSE),IF(H107="UBIII",VLOOKUP($D108,Sheet1!$A$34:$K$48,8,FALSE),VLOOKUP($D108,Sheet1!$A$34:$K$48,2,FALSE))))*0.85,2)</f>
        <v>1.41</v>
      </c>
      <c r="G108" s="182">
        <f t="shared" si="211"/>
        <v>2.39</v>
      </c>
      <c r="H108" s="183" t="s">
        <v>122</v>
      </c>
      <c r="I108" s="182">
        <v>10</v>
      </c>
      <c r="K108" s="182">
        <f t="shared" si="223"/>
        <v>6.3900000000000006</v>
      </c>
      <c r="L108" s="182">
        <f t="shared" si="217"/>
        <v>42.28</v>
      </c>
      <c r="O108" s="182">
        <f t="shared" si="222"/>
        <v>26.11</v>
      </c>
      <c r="Q108" s="182">
        <f t="shared" si="224"/>
        <v>-0.46999999999999886</v>
      </c>
      <c r="R108" s="182">
        <f t="shared" si="220"/>
        <v>28.5</v>
      </c>
      <c r="S108" s="183" t="s">
        <v>221</v>
      </c>
      <c r="T108" s="182">
        <v>30</v>
      </c>
      <c r="U108" s="184">
        <v>90</v>
      </c>
      <c r="V108" s="201">
        <f>IF(H107="AFIII",VLOOKUP(D108,Sheet1!$A$4:$H$18,5,FALSE),IF(H107="UBIII",VLOOKUP(D108,Sheet1!$A$4:$H$18,8,FALSE),IF(H107="",VLOOKUP(D108,Sheet1!$A$4:$H$18,2,FALSE),"0")))</f>
        <v>265</v>
      </c>
      <c r="W108" s="201">
        <f t="shared" si="199"/>
        <v>0</v>
      </c>
      <c r="X108" s="208">
        <f t="shared" si="200"/>
        <v>1607</v>
      </c>
      <c r="Y108" s="171" t="str">
        <f t="shared" si="201"/>
        <v>SUCCESS</v>
      </c>
      <c r="Z108" s="171" t="str">
        <f t="shared" si="202"/>
        <v>SUCCESS</v>
      </c>
      <c r="AA108" s="185">
        <f t="shared" si="208"/>
        <v>145.45969630580942</v>
      </c>
    </row>
    <row r="109" spans="1:27">
      <c r="A109" s="112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295</v>
      </c>
      <c r="B109" s="113">
        <f t="shared" si="190"/>
        <v>38804</v>
      </c>
      <c r="C109" s="118">
        <f t="shared" si="219"/>
        <v>267.17000000000013</v>
      </c>
      <c r="D109" s="181" t="s">
        <v>19</v>
      </c>
      <c r="E109" s="182">
        <f>IF(H108="AFIII",VLOOKUP($D109,Sheet1!$A$34:$K$48,5,FALSE),IF(H108="UBIII",VLOOKUP($D109,Sheet1!$A$34:$K$48,8,FALSE),VLOOKUP($D109,Sheet1!$A$34:$K$48,2,FALSE)))</f>
        <v>2.86</v>
      </c>
      <c r="F109" s="182">
        <f>ROUNDDOWN((IF(H108="AFIII",VLOOKUP($D109,Sheet1!$A$34:$K$48,5,FALSE),IF(H108="UBIII",VLOOKUP($D109,Sheet1!$A$34:$K$48,8,FALSE),VLOOKUP($D109,Sheet1!$A$34:$K$48,2,FALSE))))*0.85,2)</f>
        <v>2.4300000000000002</v>
      </c>
      <c r="G109" s="182">
        <f t="shared" si="211"/>
        <v>2.4300000000000002</v>
      </c>
      <c r="H109" s="183" t="s">
        <v>122</v>
      </c>
      <c r="I109" s="182">
        <f>I108-G109</f>
        <v>7.57</v>
      </c>
      <c r="K109" s="182">
        <f t="shared" si="223"/>
        <v>3.9600000000000004</v>
      </c>
      <c r="L109" s="182">
        <f t="shared" si="217"/>
        <v>39.85</v>
      </c>
      <c r="O109" s="182">
        <f t="shared" si="222"/>
        <v>23.68</v>
      </c>
      <c r="P109" s="183" t="s">
        <v>17</v>
      </c>
      <c r="Q109" s="182">
        <v>21</v>
      </c>
      <c r="R109" s="182">
        <f t="shared" si="220"/>
        <v>26.07</v>
      </c>
      <c r="S109" s="183" t="s">
        <v>217</v>
      </c>
      <c r="T109" s="182">
        <f t="shared" ref="T109:T121" si="225">T108-G109</f>
        <v>27.57</v>
      </c>
      <c r="U109" s="184">
        <f t="shared" ref="U109:U145" si="226">U108-G109</f>
        <v>87.57</v>
      </c>
      <c r="V109" s="201">
        <f>IF(H108="AFIII",VLOOKUP(D109,Sheet1!$A$4:$H$18,5,FALSE),IF(H108="UBIII",VLOOKUP(D109,Sheet1!$A$4:$H$18,8,FALSE),IF(H108="",VLOOKUP(D109,Sheet1!$A$4:$H$18,2,FALSE),"0")))</f>
        <v>1060</v>
      </c>
      <c r="W109" s="201">
        <f t="shared" si="199"/>
        <v>7033</v>
      </c>
      <c r="X109" s="208">
        <f t="shared" si="200"/>
        <v>7580</v>
      </c>
      <c r="Y109" s="171" t="str">
        <f t="shared" si="201"/>
        <v>SUCCESS</v>
      </c>
      <c r="Z109" s="171" t="str">
        <f t="shared" si="202"/>
        <v>SUCCESS</v>
      </c>
      <c r="AA109" s="185">
        <f t="shared" si="208"/>
        <v>145.24085788075001</v>
      </c>
    </row>
    <row r="110" spans="1:27">
      <c r="A110" s="119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280</v>
      </c>
      <c r="B110" s="120">
        <f t="shared" si="190"/>
        <v>39084</v>
      </c>
      <c r="C110" s="121">
        <f t="shared" si="219"/>
        <v>269.60000000000014</v>
      </c>
      <c r="D110" s="191" t="s">
        <v>14</v>
      </c>
      <c r="E110" s="192">
        <f>IF(H109="AFIII",VLOOKUP($D110,Sheet1!$A$34:$K$48,5,FALSE),IF(H109="UBIII",VLOOKUP($D110,Sheet1!$A$34:$K$48,8,FALSE),VLOOKUP($D110,Sheet1!$A$34:$K$48,2,FALSE)))</f>
        <v>2.86</v>
      </c>
      <c r="F110" s="192">
        <f>ROUNDDOWN((IF(H109="AFIII",VLOOKUP($D110,Sheet1!$A$34:$K$48,5,FALSE),IF(H109="UBIII",VLOOKUP($D110,Sheet1!$A$34:$K$48,8,FALSE),VLOOKUP($D110,Sheet1!$A$34:$K$48,2,FALSE))))*0.85,2)</f>
        <v>2.4300000000000002</v>
      </c>
      <c r="G110" s="192">
        <f t="shared" si="211"/>
        <v>2.4300000000000002</v>
      </c>
      <c r="H110" s="193" t="s">
        <v>122</v>
      </c>
      <c r="I110" s="192">
        <f>I109-G110</f>
        <v>5.1400000000000006</v>
      </c>
      <c r="J110" s="193"/>
      <c r="K110" s="192">
        <v>20</v>
      </c>
      <c r="L110" s="192">
        <f t="shared" si="217"/>
        <v>37.42</v>
      </c>
      <c r="M110" s="193"/>
      <c r="N110" s="192"/>
      <c r="O110" s="192">
        <f t="shared" si="222"/>
        <v>21.25</v>
      </c>
      <c r="P110" s="193"/>
      <c r="Q110" s="192">
        <f>Q109-G110</f>
        <v>18.57</v>
      </c>
      <c r="R110" s="192">
        <f t="shared" si="220"/>
        <v>23.64</v>
      </c>
      <c r="S110" s="193" t="s">
        <v>217</v>
      </c>
      <c r="T110" s="192">
        <f t="shared" si="225"/>
        <v>25.14</v>
      </c>
      <c r="U110" s="194">
        <f t="shared" si="226"/>
        <v>85.139999999999986</v>
      </c>
      <c r="V110" s="211">
        <f>IF(H109="AFIII",VLOOKUP(D110,Sheet1!$A$4:$H$18,5,FALSE),IF(H109="UBIII",VLOOKUP(D110,Sheet1!$A$4:$H$18,8,FALSE),IF(H109="",VLOOKUP(D110,Sheet1!$A$4:$H$18,2,FALSE),"0")))</f>
        <v>884</v>
      </c>
      <c r="W110" s="211">
        <f t="shared" si="199"/>
        <v>7033</v>
      </c>
      <c r="X110" s="212">
        <f t="shared" si="200"/>
        <v>10622</v>
      </c>
      <c r="Y110" s="195" t="str">
        <f t="shared" si="201"/>
        <v>SUCCESS</v>
      </c>
      <c r="Z110" s="195" t="str">
        <f t="shared" si="202"/>
        <v>SUCCESS</v>
      </c>
      <c r="AA110" s="185">
        <f t="shared" si="208"/>
        <v>144.97032640949547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168</v>
      </c>
      <c r="B111" s="113">
        <f t="shared" si="190"/>
        <v>39252</v>
      </c>
      <c r="C111" s="118">
        <f t="shared" si="219"/>
        <v>271.63000000000011</v>
      </c>
      <c r="D111" s="181" t="s">
        <v>3</v>
      </c>
      <c r="E111" s="182">
        <f>IF(H110="AFIII",VLOOKUP($D111,Sheet1!$A$34:$K$48,5,FALSE),IF(H110="UBIII",VLOOKUP($D111,Sheet1!$A$34:$K$48,8,FALSE),VLOOKUP($D111,Sheet1!$A$34:$K$48,2,FALSE)))</f>
        <v>1.67</v>
      </c>
      <c r="F111" s="182">
        <f>ROUNDDOWN((IF(H110="AFIII",VLOOKUP($D111,Sheet1!$A$34:$K$48,5,FALSE),IF(H110="UBIII",VLOOKUP($D111,Sheet1!$A$34:$K$48,8,FALSE),VLOOKUP($D111,Sheet1!$A$34:$K$48,2,FALSE))))*0.85,2)</f>
        <v>1.41</v>
      </c>
      <c r="G111" s="182">
        <f t="shared" si="211"/>
        <v>2.0299999999999998</v>
      </c>
      <c r="H111" s="183" t="s">
        <v>84</v>
      </c>
      <c r="I111" s="182">
        <v>10</v>
      </c>
      <c r="K111" s="182">
        <f>K110-G111</f>
        <v>17.97</v>
      </c>
      <c r="L111" s="182">
        <f t="shared" si="217"/>
        <v>35.39</v>
      </c>
      <c r="O111" s="182">
        <f t="shared" si="222"/>
        <v>19.22</v>
      </c>
      <c r="Q111" s="182">
        <f>Q110-G111</f>
        <v>16.54</v>
      </c>
      <c r="R111" s="182">
        <f t="shared" si="220"/>
        <v>21.61</v>
      </c>
      <c r="S111" s="183" t="s">
        <v>217</v>
      </c>
      <c r="T111" s="182">
        <f t="shared" si="225"/>
        <v>23.11</v>
      </c>
      <c r="U111" s="184">
        <f t="shared" si="226"/>
        <v>83.109999999999985</v>
      </c>
      <c r="V111" s="201">
        <f>IF(H110="AFIII",VLOOKUP(D111,Sheet1!$A$4:$H$18,5,FALSE),IF(H110="UBIII",VLOOKUP(D111,Sheet1!$A$4:$H$18,8,FALSE),IF(H110="",VLOOKUP(D111,Sheet1!$A$4:$H$18,2,FALSE),"0")))</f>
        <v>442</v>
      </c>
      <c r="W111" s="201">
        <f t="shared" si="199"/>
        <v>7033</v>
      </c>
      <c r="X111" s="208">
        <f t="shared" si="200"/>
        <v>11064</v>
      </c>
      <c r="Y111" s="171" t="str">
        <f t="shared" si="201"/>
        <v>SUCCESS</v>
      </c>
      <c r="Z111" s="171" t="str">
        <f t="shared" si="202"/>
        <v>SUCCESS</v>
      </c>
      <c r="AA111" s="185">
        <f t="shared" si="208"/>
        <v>144.50539336597572</v>
      </c>
    </row>
    <row r="112" spans="1:27">
      <c r="A112" s="112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504</v>
      </c>
      <c r="B112" s="113">
        <f t="shared" si="190"/>
        <v>39756</v>
      </c>
      <c r="C112" s="118">
        <f t="shared" si="219"/>
        <v>274.06000000000012</v>
      </c>
      <c r="D112" s="181" t="s">
        <v>5</v>
      </c>
      <c r="E112" s="182">
        <f>IF(H111="AFIII",VLOOKUP($D112,Sheet1!$A$34:$K$48,5,FALSE),IF(H111="UBIII",VLOOKUP($D112,Sheet1!$A$34:$K$48,8,FALSE),VLOOKUP($D112,Sheet1!$A$34:$K$48,2,FALSE)))</f>
        <v>2.86</v>
      </c>
      <c r="F112" s="182">
        <f>ROUNDDOWN((IF(H111="AFIII",VLOOKUP($D112,Sheet1!$A$34:$K$48,5,FALSE),IF(H111="UBIII",VLOOKUP($D112,Sheet1!$A$34:$K$48,8,FALSE),VLOOKUP($D112,Sheet1!$A$34:$K$48,2,FALSE))))*0.85,2)</f>
        <v>2.4300000000000002</v>
      </c>
      <c r="G112" s="182">
        <f t="shared" si="211"/>
        <v>2.4300000000000002</v>
      </c>
      <c r="H112" s="183" t="s">
        <v>84</v>
      </c>
      <c r="I112" s="182">
        <f>I111-G112</f>
        <v>7.57</v>
      </c>
      <c r="K112" s="182">
        <f t="shared" ref="K112:K117" si="227">K111-G112</f>
        <v>15.54</v>
      </c>
      <c r="L112" s="182">
        <f t="shared" si="217"/>
        <v>32.96</v>
      </c>
      <c r="O112" s="182">
        <f t="shared" si="222"/>
        <v>16.79</v>
      </c>
      <c r="Q112" s="182">
        <f t="shared" ref="Q112:Q118" si="228">Q111-G112</f>
        <v>14.11</v>
      </c>
      <c r="R112" s="182">
        <f t="shared" si="220"/>
        <v>19.18</v>
      </c>
      <c r="S112" s="183" t="s">
        <v>217</v>
      </c>
      <c r="T112" s="182">
        <f t="shared" si="225"/>
        <v>20.68</v>
      </c>
      <c r="U112" s="184">
        <f t="shared" si="226"/>
        <v>80.679999999999978</v>
      </c>
      <c r="V112" s="201">
        <f>IF(H111="AFIII",VLOOKUP(D112,Sheet1!$A$4:$H$18,5,FALSE),IF(H111="UBIII",VLOOKUP(D112,Sheet1!$A$4:$H$18,8,FALSE),IF(H111="",VLOOKUP(D112,Sheet1!$A$4:$H$18,2,FALSE),"0")))</f>
        <v>1768</v>
      </c>
      <c r="W112" s="201">
        <f t="shared" si="199"/>
        <v>0</v>
      </c>
      <c r="X112" s="208">
        <f t="shared" si="200"/>
        <v>9296</v>
      </c>
      <c r="Y112" s="171" t="str">
        <f t="shared" si="201"/>
        <v>SUCCESS</v>
      </c>
      <c r="Z112" s="171" t="str">
        <f t="shared" si="202"/>
        <v>SUCCESS</v>
      </c>
      <c r="AA112" s="185">
        <f t="shared" si="208"/>
        <v>145.06312486316858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504</v>
      </c>
      <c r="B113" s="113">
        <f t="shared" si="190"/>
        <v>40260</v>
      </c>
      <c r="C113" s="118">
        <f t="shared" si="219"/>
        <v>276.49000000000012</v>
      </c>
      <c r="D113" s="181" t="s">
        <v>5</v>
      </c>
      <c r="E113" s="182">
        <f>IF(H112="AFIII",VLOOKUP($D113,Sheet1!$A$34:$K$48,5,FALSE),IF(H112="UBIII",VLOOKUP($D113,Sheet1!$A$34:$K$48,8,FALSE),VLOOKUP($D113,Sheet1!$A$34:$K$48,2,FALSE)))</f>
        <v>2.86</v>
      </c>
      <c r="F113" s="182">
        <f>ROUNDDOWN((IF(H112="AFIII",VLOOKUP($D113,Sheet1!$A$34:$K$48,5,FALSE),IF(H112="UBIII",VLOOKUP($D113,Sheet1!$A$34:$K$48,8,FALSE),VLOOKUP($D113,Sheet1!$A$34:$K$48,2,FALSE))))*0.85,2)</f>
        <v>2.4300000000000002</v>
      </c>
      <c r="G113" s="182">
        <f t="shared" si="211"/>
        <v>2.4300000000000002</v>
      </c>
      <c r="H113" s="183" t="s">
        <v>84</v>
      </c>
      <c r="I113" s="182">
        <f t="shared" ref="I113" si="229">I112-G113</f>
        <v>5.1400000000000006</v>
      </c>
      <c r="K113" s="182">
        <f t="shared" si="227"/>
        <v>13.11</v>
      </c>
      <c r="L113" s="182">
        <f t="shared" si="217"/>
        <v>30.53</v>
      </c>
      <c r="O113" s="182">
        <f t="shared" si="222"/>
        <v>14.36</v>
      </c>
      <c r="Q113" s="182">
        <f t="shared" si="228"/>
        <v>11.68</v>
      </c>
      <c r="R113" s="182">
        <f t="shared" si="220"/>
        <v>16.75</v>
      </c>
      <c r="S113" s="183" t="s">
        <v>217</v>
      </c>
      <c r="T113" s="182">
        <f t="shared" si="225"/>
        <v>18.25</v>
      </c>
      <c r="U113" s="184">
        <f t="shared" si="226"/>
        <v>78.249999999999972</v>
      </c>
      <c r="V113" s="201">
        <f>IF(H112="AFIII",VLOOKUP(D113,Sheet1!$A$4:$H$18,5,FALSE),IF(H112="UBIII",VLOOKUP(D113,Sheet1!$A$4:$H$18,8,FALSE),IF(H112="",VLOOKUP(D113,Sheet1!$A$4:$H$18,2,FALSE),"0")))</f>
        <v>1768</v>
      </c>
      <c r="W113" s="201">
        <f t="shared" si="199"/>
        <v>0</v>
      </c>
      <c r="X113" s="208">
        <f t="shared" si="200"/>
        <v>7528</v>
      </c>
      <c r="Y113" s="171" t="str">
        <f t="shared" si="201"/>
        <v>SUCCESS</v>
      </c>
      <c r="Z113" s="171" t="str">
        <f t="shared" si="202"/>
        <v>SUCCESS</v>
      </c>
      <c r="AA113" s="185">
        <f t="shared" si="208"/>
        <v>145.61105284097067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324</v>
      </c>
      <c r="B114" s="113">
        <f t="shared" si="190"/>
        <v>40584</v>
      </c>
      <c r="C114" s="118">
        <f t="shared" si="219"/>
        <v>278.5200000000001</v>
      </c>
      <c r="D114" s="181" t="s">
        <v>222</v>
      </c>
      <c r="E114" s="182">
        <f>IF(H113="AFIII",VLOOKUP($D114,Sheet1!$A$34:$K$48,5,FALSE),IF(H113="UBIII",VLOOKUP($D114,Sheet1!$A$34:$K$48,8,FALSE),VLOOKUP($D114,Sheet1!$A$34:$K$48,2,FALSE)))</f>
        <v>2.39</v>
      </c>
      <c r="F114" s="182">
        <f>ROUNDDOWN((IF(H113="AFIII",VLOOKUP($D114,Sheet1!$A$34:$K$48,5,FALSE),IF(H113="UBIII",VLOOKUP($D114,Sheet1!$A$34:$K$48,8,FALSE),VLOOKUP($D114,Sheet1!$A$34:$K$48,2,FALSE))))*0.85,2)</f>
        <v>2.0299999999999998</v>
      </c>
      <c r="G114" s="182">
        <f t="shared" si="211"/>
        <v>2.0299999999999998</v>
      </c>
      <c r="H114" s="183" t="s">
        <v>84</v>
      </c>
      <c r="I114" s="182">
        <v>10</v>
      </c>
      <c r="K114" s="182">
        <f t="shared" si="227"/>
        <v>11.08</v>
      </c>
      <c r="L114" s="182">
        <f t="shared" si="217"/>
        <v>28.5</v>
      </c>
      <c r="O114" s="182">
        <f t="shared" si="222"/>
        <v>12.33</v>
      </c>
      <c r="Q114" s="182">
        <f t="shared" si="228"/>
        <v>9.65</v>
      </c>
      <c r="R114" s="182">
        <f>R113-G114</f>
        <v>14.72</v>
      </c>
      <c r="S114" s="183" t="s">
        <v>217</v>
      </c>
      <c r="T114" s="182">
        <f t="shared" si="225"/>
        <v>16.22</v>
      </c>
      <c r="U114" s="184">
        <f t="shared" si="226"/>
        <v>76.21999999999997</v>
      </c>
      <c r="V114" s="201">
        <f>IF(H113="AFIII",VLOOKUP(D114,Sheet1!$A$4:$H$18,5,FALSE),IF(H113="UBIII",VLOOKUP(D114,Sheet1!$A$4:$H$18,8,FALSE),IF(H113="",VLOOKUP(D114,Sheet1!$A$4:$H$18,2,FALSE),"0")))</f>
        <v>2120</v>
      </c>
      <c r="W114" s="201">
        <f t="shared" si="199"/>
        <v>0</v>
      </c>
      <c r="X114" s="208">
        <f t="shared" si="200"/>
        <v>5408</v>
      </c>
      <c r="Y114" s="171" t="str">
        <f t="shared" si="201"/>
        <v>SUCCESS</v>
      </c>
      <c r="Z114" s="171" t="str">
        <f t="shared" si="202"/>
        <v>SUCCESS</v>
      </c>
      <c r="AA114" s="185">
        <f t="shared" si="208"/>
        <v>145.71305471779399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504</v>
      </c>
      <c r="B115" s="113">
        <f t="shared" si="190"/>
        <v>41088</v>
      </c>
      <c r="C115" s="118">
        <f t="shared" si="219"/>
        <v>280.9500000000001</v>
      </c>
      <c r="D115" s="181" t="s">
        <v>6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211"/>
        <v>2.4300000000000002</v>
      </c>
      <c r="H115" s="183" t="s">
        <v>84</v>
      </c>
      <c r="I115" s="182">
        <f>I114-G115</f>
        <v>7.57</v>
      </c>
      <c r="K115" s="182">
        <f t="shared" si="227"/>
        <v>8.65</v>
      </c>
      <c r="L115" s="182">
        <f t="shared" si="217"/>
        <v>26.07</v>
      </c>
      <c r="O115" s="182">
        <f t="shared" si="222"/>
        <v>9.9</v>
      </c>
      <c r="Q115" s="182">
        <f t="shared" si="228"/>
        <v>7.2200000000000006</v>
      </c>
      <c r="R115" s="182">
        <f t="shared" ref="R115:R119" si="230">R114-G115</f>
        <v>12.290000000000001</v>
      </c>
      <c r="S115" s="183" t="s">
        <v>217</v>
      </c>
      <c r="T115" s="182">
        <f t="shared" si="225"/>
        <v>13.79</v>
      </c>
      <c r="U115" s="184">
        <f t="shared" si="226"/>
        <v>73.789999999999964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199"/>
        <v>0</v>
      </c>
      <c r="X115" s="208">
        <f t="shared" si="200"/>
        <v>3640</v>
      </c>
      <c r="Y115" s="171" t="str">
        <f t="shared" si="201"/>
        <v>SUCCESS</v>
      </c>
      <c r="Z115" s="171" t="str">
        <f t="shared" si="202"/>
        <v>SUCCESS</v>
      </c>
      <c r="AA115" s="185">
        <f t="shared" si="208"/>
        <v>146.24666310731442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504</v>
      </c>
      <c r="B116" s="113">
        <f t="shared" si="190"/>
        <v>41592</v>
      </c>
      <c r="C116" s="118">
        <f t="shared" si="219"/>
        <v>283.38000000000011</v>
      </c>
      <c r="D116" s="181" t="s">
        <v>6</v>
      </c>
      <c r="E116" s="182">
        <f>IF(H115="AFIII",VLOOKUP($D116,Sheet1!$A$34:$K$48,5,FALSE),IF(H115="UBIII",VLOOKUP($D116,Sheet1!$A$34:$K$48,8,FALSE),VLOOKUP($D116,Sheet1!$A$34:$K$48,2,FALSE)))</f>
        <v>2.86</v>
      </c>
      <c r="F116" s="182">
        <f>ROUNDDOWN((IF(H115="AFIII",VLOOKUP($D116,Sheet1!$A$34:$K$48,5,FALSE),IF(H115="UBIII",VLOOKUP($D116,Sheet1!$A$34:$K$48,8,FALSE),VLOOKUP($D116,Sheet1!$A$34:$K$48,2,FALSE))))*0.85,2)</f>
        <v>2.4300000000000002</v>
      </c>
      <c r="G116" s="182">
        <f t="shared" si="211"/>
        <v>2.4300000000000002</v>
      </c>
      <c r="H116" s="183" t="s">
        <v>84</v>
      </c>
      <c r="I116" s="182">
        <f>I115-G116</f>
        <v>5.1400000000000006</v>
      </c>
      <c r="K116" s="182">
        <f t="shared" si="227"/>
        <v>6.2200000000000006</v>
      </c>
      <c r="L116" s="182">
        <f t="shared" si="217"/>
        <v>23.64</v>
      </c>
      <c r="O116" s="182">
        <f t="shared" si="222"/>
        <v>7.4700000000000006</v>
      </c>
      <c r="Q116" s="182">
        <f t="shared" si="228"/>
        <v>4.7900000000000009</v>
      </c>
      <c r="R116" s="182">
        <f t="shared" si="230"/>
        <v>9.8600000000000012</v>
      </c>
      <c r="S116" s="183" t="s">
        <v>217</v>
      </c>
      <c r="T116" s="182">
        <f t="shared" si="225"/>
        <v>11.36</v>
      </c>
      <c r="U116" s="184">
        <f t="shared" si="226"/>
        <v>71.359999999999957</v>
      </c>
      <c r="V116" s="201">
        <f>IF(H115="AFIII",VLOOKUP(D116,Sheet1!$A$4:$H$18,5,FALSE),IF(H115="UBIII",VLOOKUP(D116,Sheet1!$A$4:$H$18,8,FALSE),IF(H115="",VLOOKUP(D116,Sheet1!$A$4:$H$18,2,FALSE),"0")))</f>
        <v>1768</v>
      </c>
      <c r="W116" s="201">
        <f t="shared" si="199"/>
        <v>0</v>
      </c>
      <c r="X116" s="208">
        <f t="shared" si="200"/>
        <v>1872</v>
      </c>
      <c r="Y116" s="171" t="str">
        <f t="shared" si="201"/>
        <v>SUCCESS</v>
      </c>
      <c r="Z116" s="171" t="str">
        <f t="shared" si="202"/>
        <v>SUCCESS</v>
      </c>
      <c r="AA116" s="185">
        <f t="shared" si="208"/>
        <v>146.77112005081511</v>
      </c>
    </row>
    <row r="117" spans="1:27">
      <c r="A117" s="11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168</v>
      </c>
      <c r="B117" s="113">
        <f t="shared" si="190"/>
        <v>41760</v>
      </c>
      <c r="C117" s="118">
        <f t="shared" si="219"/>
        <v>285.41000000000008</v>
      </c>
      <c r="D117" s="181" t="s">
        <v>12</v>
      </c>
      <c r="E117" s="182">
        <f>IF(H116="AFIII",VLOOKUP($D117,Sheet1!$A$34:$K$48,5,FALSE),IF(H116="UBIII",VLOOKUP($D117,Sheet1!$A$34:$K$48,8,FALSE),VLOOKUP($D117,Sheet1!$A$34:$K$48,2,FALSE)))</f>
        <v>1.67</v>
      </c>
      <c r="F117" s="182">
        <f>ROUNDDOWN((IF(H116="AFIII",VLOOKUP($D117,Sheet1!$A$34:$K$48,5,FALSE),IF(H116="UBIII",VLOOKUP($D117,Sheet1!$A$34:$K$48,8,FALSE),VLOOKUP($D117,Sheet1!$A$34:$K$48,2,FALSE))))*0.85,2)</f>
        <v>1.41</v>
      </c>
      <c r="G117" s="182">
        <f t="shared" si="211"/>
        <v>2.0299999999999998</v>
      </c>
      <c r="H117" s="183" t="s">
        <v>122</v>
      </c>
      <c r="I117" s="182">
        <v>10</v>
      </c>
      <c r="K117" s="182">
        <f t="shared" si="227"/>
        <v>4.1900000000000013</v>
      </c>
      <c r="L117" s="182">
        <f t="shared" si="217"/>
        <v>21.61</v>
      </c>
      <c r="O117" s="182">
        <f>O116-G117</f>
        <v>5.4400000000000013</v>
      </c>
      <c r="Q117" s="182">
        <f t="shared" si="228"/>
        <v>2.7600000000000011</v>
      </c>
      <c r="R117" s="182">
        <f t="shared" si="230"/>
        <v>7.8300000000000018</v>
      </c>
      <c r="S117" s="183" t="s">
        <v>217</v>
      </c>
      <c r="T117" s="182">
        <f t="shared" si="225"/>
        <v>9.33</v>
      </c>
      <c r="U117" s="184">
        <f t="shared" si="226"/>
        <v>69.329999999999956</v>
      </c>
      <c r="V117" s="201">
        <f>IF(H116="AFIII",VLOOKUP(D117,Sheet1!$A$4:$H$18,5,FALSE),IF(H116="UBIII",VLOOKUP(D117,Sheet1!$A$4:$H$18,8,FALSE),IF(H116="",VLOOKUP(D117,Sheet1!$A$4:$H$18,2,FALSE),"0")))</f>
        <v>265</v>
      </c>
      <c r="W117" s="201">
        <f t="shared" si="199"/>
        <v>0</v>
      </c>
      <c r="X117" s="208">
        <f t="shared" si="200"/>
        <v>1607</v>
      </c>
      <c r="Y117" s="171" t="str">
        <f t="shared" si="201"/>
        <v>SUCCESS</v>
      </c>
      <c r="Z117" s="171" t="str">
        <f t="shared" si="202"/>
        <v>SUCCESS</v>
      </c>
      <c r="AA117" s="185">
        <f t="shared" si="208"/>
        <v>146.31582635506811</v>
      </c>
    </row>
    <row r="118" spans="1:27">
      <c r="A118" s="119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280</v>
      </c>
      <c r="B118" s="120">
        <f t="shared" si="190"/>
        <v>42040</v>
      </c>
      <c r="C118" s="121">
        <f t="shared" si="219"/>
        <v>287.84000000000009</v>
      </c>
      <c r="D118" s="191" t="s">
        <v>14</v>
      </c>
      <c r="E118" s="192">
        <f>IF(H117="AFIII",VLOOKUP($D118,Sheet1!$A$34:$K$48,5,FALSE),IF(H117="UBIII",VLOOKUP($D118,Sheet1!$A$34:$K$48,8,FALSE),VLOOKUP($D118,Sheet1!$A$34:$K$48,2,FALSE)))</f>
        <v>2.86</v>
      </c>
      <c r="F118" s="192">
        <f>ROUNDDOWN((IF(H117="AFIII",VLOOKUP($D118,Sheet1!$A$34:$K$48,5,FALSE),IF(H117="UBIII",VLOOKUP($D118,Sheet1!$A$34:$K$48,8,FALSE),VLOOKUP($D118,Sheet1!$A$34:$K$48,2,FALSE))))*0.85,2)</f>
        <v>2.4300000000000002</v>
      </c>
      <c r="G118" s="192">
        <f t="shared" si="211"/>
        <v>2.4300000000000002</v>
      </c>
      <c r="H118" s="193" t="s">
        <v>122</v>
      </c>
      <c r="I118" s="192">
        <f>I117-G118</f>
        <v>7.57</v>
      </c>
      <c r="J118" s="193"/>
      <c r="K118" s="192">
        <v>15</v>
      </c>
      <c r="L118" s="192">
        <f t="shared" si="217"/>
        <v>19.18</v>
      </c>
      <c r="M118" s="193"/>
      <c r="N118" s="192"/>
      <c r="O118" s="192">
        <f t="shared" ref="O118:O120" si="231">O117-G118</f>
        <v>3.0100000000000011</v>
      </c>
      <c r="P118" s="193"/>
      <c r="Q118" s="192">
        <f t="shared" si="228"/>
        <v>0.33000000000000096</v>
      </c>
      <c r="R118" s="192">
        <f t="shared" si="230"/>
        <v>5.4000000000000021</v>
      </c>
      <c r="S118" s="193" t="s">
        <v>217</v>
      </c>
      <c r="T118" s="192">
        <f t="shared" si="225"/>
        <v>6.9</v>
      </c>
      <c r="U118" s="194">
        <f t="shared" si="226"/>
        <v>66.899999999999949</v>
      </c>
      <c r="V118" s="211">
        <f>IF(H117="AFIII",VLOOKUP(D118,Sheet1!$A$4:$H$18,5,FALSE),IF(H117="UBIII",VLOOKUP(D118,Sheet1!$A$4:$H$18,8,FALSE),IF(H117="",VLOOKUP(D118,Sheet1!$A$4:$H$18,2,FALSE),"0")))</f>
        <v>884</v>
      </c>
      <c r="W118" s="211">
        <f t="shared" si="199"/>
        <v>7033</v>
      </c>
      <c r="X118" s="212">
        <f t="shared" si="200"/>
        <v>7756</v>
      </c>
      <c r="Y118" s="195" t="str">
        <f t="shared" si="201"/>
        <v>SUCCESS</v>
      </c>
      <c r="Z118" s="195" t="str">
        <f t="shared" si="202"/>
        <v>SUCCESS</v>
      </c>
      <c r="AA118" s="185">
        <f t="shared" si="208"/>
        <v>146.05336297943296</v>
      </c>
    </row>
    <row r="119" spans="1:27">
      <c r="A119" s="11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168</v>
      </c>
      <c r="B119" s="113">
        <f t="shared" si="190"/>
        <v>42208</v>
      </c>
      <c r="C119" s="118">
        <f t="shared" si="219"/>
        <v>289.87000000000006</v>
      </c>
      <c r="D119" s="181" t="s">
        <v>4</v>
      </c>
      <c r="E119" s="182">
        <f>IF(H118="AFIII",VLOOKUP($D119,Sheet1!$A$34:$K$48,5,FALSE),IF(H118="UBIII",VLOOKUP($D119,Sheet1!$A$34:$K$48,8,FALSE),VLOOKUP($D119,Sheet1!$A$34:$K$48,2,FALSE)))</f>
        <v>1.67</v>
      </c>
      <c r="F119" s="182">
        <f>ROUNDDOWN((IF(H118="AFIII",VLOOKUP($D119,Sheet1!$A$34:$K$48,5,FALSE),IF(H118="UBIII",VLOOKUP($D119,Sheet1!$A$34:$K$48,8,FALSE),VLOOKUP($D119,Sheet1!$A$34:$K$48,2,FALSE))))*0.85,2)</f>
        <v>1.41</v>
      </c>
      <c r="G119" s="182">
        <f t="shared" si="211"/>
        <v>2.0299999999999998</v>
      </c>
      <c r="H119" s="183" t="s">
        <v>84</v>
      </c>
      <c r="I119" s="182">
        <v>10</v>
      </c>
      <c r="K119" s="182">
        <f t="shared" ref="K119:K126" si="232">K118-G119</f>
        <v>12.97</v>
      </c>
      <c r="L119" s="182">
        <f t="shared" si="217"/>
        <v>17.149999999999999</v>
      </c>
      <c r="M119" s="183" t="s">
        <v>135</v>
      </c>
      <c r="O119" s="182">
        <f t="shared" si="231"/>
        <v>0.98000000000000131</v>
      </c>
      <c r="R119" s="182">
        <f t="shared" si="230"/>
        <v>3.3700000000000023</v>
      </c>
      <c r="S119" s="183" t="s">
        <v>217</v>
      </c>
      <c r="T119" s="182">
        <f t="shared" si="225"/>
        <v>4.870000000000001</v>
      </c>
      <c r="U119" s="184">
        <f t="shared" si="226"/>
        <v>64.869999999999948</v>
      </c>
      <c r="V119" s="201">
        <f>IF(H118="AFIII",VLOOKUP(D119,Sheet1!$A$4:$H$18,5,FALSE),IF(H118="UBIII",VLOOKUP(D119,Sheet1!$A$4:$H$18,8,FALSE),IF(H118="",VLOOKUP(D119,Sheet1!$A$4:$H$18,2,FALSE),"0")))</f>
        <v>442</v>
      </c>
      <c r="W119" s="201">
        <f t="shared" si="199"/>
        <v>7033</v>
      </c>
      <c r="X119" s="208">
        <f t="shared" si="200"/>
        <v>11064</v>
      </c>
      <c r="Y119" s="171" t="str">
        <f t="shared" si="201"/>
        <v>SUCCESS</v>
      </c>
      <c r="Z119" s="171" t="str">
        <f t="shared" si="202"/>
        <v>SUCCESS</v>
      </c>
      <c r="AA119" s="185">
        <f t="shared" si="208"/>
        <v>145.61010107979436</v>
      </c>
    </row>
    <row r="120" spans="1:27">
      <c r="A120" s="112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504</v>
      </c>
      <c r="B120" s="113">
        <f t="shared" si="190"/>
        <v>42712</v>
      </c>
      <c r="C120" s="118">
        <f t="shared" si="219"/>
        <v>292.30000000000007</v>
      </c>
      <c r="D120" s="181" t="s">
        <v>6</v>
      </c>
      <c r="E120" s="182">
        <f>IF(H119="AFIII",VLOOKUP($D120,Sheet1!$A$34:$K$48,5,FALSE),IF(H119="UBIII",VLOOKUP($D120,Sheet1!$A$34:$K$48,8,FALSE),VLOOKUP($D120,Sheet1!$A$34:$K$48,2,FALSE)))</f>
        <v>2.86</v>
      </c>
      <c r="F120" s="182">
        <f>ROUNDDOWN((IF(H119="AFIII",VLOOKUP($D120,Sheet1!$A$34:$K$48,5,FALSE),IF(H119="UBIII",VLOOKUP($D120,Sheet1!$A$34:$K$48,8,FALSE),VLOOKUP($D120,Sheet1!$A$34:$K$48,2,FALSE))))*0.85,2)</f>
        <v>2.4300000000000002</v>
      </c>
      <c r="G120" s="182">
        <f t="shared" si="211"/>
        <v>2.4300000000000002</v>
      </c>
      <c r="H120" s="183" t="s">
        <v>84</v>
      </c>
      <c r="I120" s="182">
        <f>I119-G120</f>
        <v>7.57</v>
      </c>
      <c r="K120" s="182">
        <f t="shared" si="232"/>
        <v>10.540000000000001</v>
      </c>
      <c r="L120" s="182">
        <f t="shared" si="217"/>
        <v>14.719999999999999</v>
      </c>
      <c r="O120" s="182">
        <f t="shared" si="231"/>
        <v>-1.4499999999999988</v>
      </c>
      <c r="P120" s="183" t="s">
        <v>136</v>
      </c>
      <c r="R120" s="182">
        <f>R119-G120</f>
        <v>0.94000000000000217</v>
      </c>
      <c r="S120" s="183" t="s">
        <v>221</v>
      </c>
      <c r="T120" s="182">
        <f t="shared" si="225"/>
        <v>2.4400000000000008</v>
      </c>
      <c r="U120" s="184">
        <f t="shared" si="226"/>
        <v>62.439999999999948</v>
      </c>
      <c r="V120" s="201">
        <f>IF(H119="AFIII",VLOOKUP(D120,Sheet1!$A$4:$H$18,5,FALSE),IF(H119="UBIII",VLOOKUP(D120,Sheet1!$A$4:$H$18,8,FALSE),IF(H119="",VLOOKUP(D120,Sheet1!$A$4:$H$18,2,FALSE),"0")))</f>
        <v>1768</v>
      </c>
      <c r="W120" s="201">
        <f t="shared" si="199"/>
        <v>0</v>
      </c>
      <c r="X120" s="208">
        <f t="shared" si="200"/>
        <v>9296</v>
      </c>
      <c r="Y120" s="171" t="str">
        <f t="shared" si="201"/>
        <v>SUCCESS</v>
      </c>
      <c r="Z120" s="171" t="str">
        <f t="shared" si="202"/>
        <v>SUCCESS</v>
      </c>
      <c r="AA120" s="185">
        <f t="shared" si="208"/>
        <v>146.12384536435167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504</v>
      </c>
      <c r="B121" s="113">
        <f t="shared" si="190"/>
        <v>43216</v>
      </c>
      <c r="C121" s="118">
        <f t="shared" si="219"/>
        <v>294.73000000000008</v>
      </c>
      <c r="D121" s="181" t="s">
        <v>6</v>
      </c>
      <c r="E121" s="182">
        <f>IF(H120="AFIII",VLOOKUP($D121,Sheet1!$A$34:$K$48,5,FALSE),IF(H120="UBIII",VLOOKUP($D121,Sheet1!$A$34:$K$48,8,FALSE),VLOOKUP($D121,Sheet1!$A$34:$K$48,2,FALSE)))</f>
        <v>2.86</v>
      </c>
      <c r="F121" s="182">
        <f>ROUNDDOWN((IF(H120="AFIII",VLOOKUP($D121,Sheet1!$A$34:$K$48,5,FALSE),IF(H120="UBIII",VLOOKUP($D121,Sheet1!$A$34:$K$48,8,FALSE),VLOOKUP($D121,Sheet1!$A$34:$K$48,2,FALSE))))*0.85,2)</f>
        <v>2.4300000000000002</v>
      </c>
      <c r="G121" s="182">
        <f t="shared" si="211"/>
        <v>2.4300000000000002</v>
      </c>
      <c r="H121" s="183" t="s">
        <v>84</v>
      </c>
      <c r="I121" s="182">
        <f>I120-G121</f>
        <v>5.1400000000000006</v>
      </c>
      <c r="K121" s="182">
        <f t="shared" si="232"/>
        <v>8.1100000000000012</v>
      </c>
      <c r="L121" s="182">
        <f t="shared" si="217"/>
        <v>12.29</v>
      </c>
      <c r="R121" s="182">
        <f>R120-G121</f>
        <v>-1.489999999999998</v>
      </c>
      <c r="T121" s="182">
        <f t="shared" si="225"/>
        <v>1.0000000000000675E-2</v>
      </c>
      <c r="U121" s="184">
        <f t="shared" si="226"/>
        <v>60.009999999999948</v>
      </c>
      <c r="V121" s="201">
        <f>IF(H120="AFIII",VLOOKUP(D121,Sheet1!$A$4:$H$18,5,FALSE),IF(H120="UBIII",VLOOKUP(D121,Sheet1!$A$4:$H$18,8,FALSE),IF(H120="",VLOOKUP(D121,Sheet1!$A$4:$H$18,2,FALSE),"0")))</f>
        <v>1768</v>
      </c>
      <c r="W121" s="201">
        <f t="shared" si="199"/>
        <v>0</v>
      </c>
      <c r="X121" s="208">
        <f t="shared" si="200"/>
        <v>7528</v>
      </c>
      <c r="Y121" s="171" t="str">
        <f t="shared" si="201"/>
        <v>SUCCESS</v>
      </c>
      <c r="Z121" s="171" t="str">
        <f t="shared" si="202"/>
        <v>SUCCESS</v>
      </c>
      <c r="AA121" s="185">
        <f t="shared" si="208"/>
        <v>146.62911817595761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496</v>
      </c>
      <c r="B122" s="113">
        <f t="shared" si="190"/>
        <v>43712</v>
      </c>
      <c r="C122" s="118">
        <f t="shared" si="219"/>
        <v>298.07600000000008</v>
      </c>
      <c r="D122" s="181" t="s">
        <v>128</v>
      </c>
      <c r="E122" s="182">
        <f>IF(H121="AFIII",VLOOKUP($D122,Sheet1!$A$34:$K$48,5,FALSE),IF(H121="UBIII",VLOOKUP($D122,Sheet1!$A$34:$K$48,8,FALSE),VLOOKUP($D122,Sheet1!$A$34:$K$48,2,FALSE)))</f>
        <v>3.3460000000000001</v>
      </c>
      <c r="F122" s="182">
        <f>ROUNDDOWN((IF(H121="AFIII",VLOOKUP($D122,Sheet1!$A$34:$K$48,5,FALSE),IF(H121="UBIII",VLOOKUP($D122,Sheet1!$A$34:$K$48,8,FALSE),VLOOKUP($D122,Sheet1!$A$34:$K$48,2,FALSE))))*0.85,2)</f>
        <v>2.84</v>
      </c>
      <c r="G122" s="182">
        <f t="shared" si="211"/>
        <v>3.3460000000000001</v>
      </c>
      <c r="H122" s="183" t="s">
        <v>84</v>
      </c>
      <c r="I122" s="182">
        <v>10</v>
      </c>
      <c r="K122" s="182">
        <f t="shared" si="232"/>
        <v>4.7640000000000011</v>
      </c>
      <c r="L122" s="182">
        <f t="shared" si="217"/>
        <v>8.9439999999999991</v>
      </c>
      <c r="U122" s="184">
        <f t="shared" si="226"/>
        <v>56.663999999999945</v>
      </c>
      <c r="V122" s="201">
        <f>IF(H121="AFIII",VLOOKUP(D122,Sheet1!$A$4:$H$18,5,FALSE),IF(H121="UBIII",VLOOKUP(D122,Sheet1!$A$4:$H$18,8,FALSE),IF(H121="",VLOOKUP(D122,Sheet1!$A$4:$H$18,2,FALSE),"0")))</f>
        <v>2120</v>
      </c>
      <c r="W122" s="201">
        <f t="shared" si="199"/>
        <v>0</v>
      </c>
      <c r="X122" s="208">
        <f t="shared" si="200"/>
        <v>5408</v>
      </c>
      <c r="Y122" s="171" t="str">
        <f t="shared" si="201"/>
        <v>SUCCESS</v>
      </c>
      <c r="Z122" s="171" t="str">
        <f t="shared" si="202"/>
        <v>SUCCESS</v>
      </c>
      <c r="AA122" s="185">
        <f t="shared" si="208"/>
        <v>146.64716381057175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504</v>
      </c>
      <c r="B123" s="113">
        <f t="shared" si="190"/>
        <v>44216</v>
      </c>
      <c r="C123" s="118">
        <f t="shared" si="219"/>
        <v>300.93600000000009</v>
      </c>
      <c r="D123" s="181" t="s">
        <v>6</v>
      </c>
      <c r="E123" s="182">
        <f>IF(H122="AFIII",VLOOKUP($D123,Sheet1!$A$34:$K$48,5,FALSE),IF(H122="UBIII",VLOOKUP($D123,Sheet1!$A$34:$K$48,8,FALSE),VLOOKUP($D123,Sheet1!$A$34:$K$48,2,FALSE)))</f>
        <v>2.86</v>
      </c>
      <c r="F123" s="182">
        <f>ROUNDDOWN((IF(H122="AFIII",VLOOKUP($D123,Sheet1!$A$34:$K$48,5,FALSE),IF(H122="UBIII",VLOOKUP($D123,Sheet1!$A$34:$K$48,8,FALSE),VLOOKUP($D123,Sheet1!$A$34:$K$48,2,FALSE))))*0.85,2)</f>
        <v>2.4300000000000002</v>
      </c>
      <c r="G123" s="182">
        <f t="shared" si="211"/>
        <v>2.86</v>
      </c>
      <c r="H123" s="183" t="s">
        <v>84</v>
      </c>
      <c r="I123" s="182">
        <f>I122-G123</f>
        <v>7.1400000000000006</v>
      </c>
      <c r="K123" s="182">
        <f t="shared" si="232"/>
        <v>1.9040000000000012</v>
      </c>
      <c r="L123" s="182">
        <f t="shared" si="217"/>
        <v>6.0839999999999996</v>
      </c>
      <c r="M123" s="183" t="s">
        <v>218</v>
      </c>
      <c r="O123" s="182">
        <v>60</v>
      </c>
      <c r="U123" s="184">
        <f t="shared" si="226"/>
        <v>53.803999999999945</v>
      </c>
      <c r="V123" s="201">
        <f>IF(H122="AFIII",VLOOKUP(D123,Sheet1!$A$4:$H$18,5,FALSE),IF(H122="UBIII",VLOOKUP(D123,Sheet1!$A$4:$H$18,8,FALSE),IF(H122="",VLOOKUP(D123,Sheet1!$A$4:$H$18,2,FALSE),"0")))</f>
        <v>1768</v>
      </c>
      <c r="W123" s="201">
        <f t="shared" si="199"/>
        <v>0</v>
      </c>
      <c r="X123" s="208">
        <f t="shared" si="200"/>
        <v>3640</v>
      </c>
      <c r="Y123" s="171" t="str">
        <f t="shared" si="201"/>
        <v>SUCCESS</v>
      </c>
      <c r="Z123" s="171" t="str">
        <f t="shared" si="202"/>
        <v>SUCCESS</v>
      </c>
      <c r="AA123" s="185">
        <f t="shared" si="208"/>
        <v>146.92825052502855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504</v>
      </c>
      <c r="B124" s="113">
        <f t="shared" si="190"/>
        <v>44720</v>
      </c>
      <c r="C124" s="118">
        <f t="shared" si="219"/>
        <v>303.32600000000008</v>
      </c>
      <c r="D124" s="181" t="s">
        <v>6</v>
      </c>
      <c r="E124" s="182">
        <f>IF(H123="AFIII",VLOOKUP($D124,Sheet1!$A$34:$K$48,5,FALSE),IF(H123="UBIII",VLOOKUP($D124,Sheet1!$A$34:$K$48,8,FALSE),VLOOKUP($D124,Sheet1!$A$34:$K$48,2,FALSE)))</f>
        <v>2.86</v>
      </c>
      <c r="F124" s="182">
        <f>ROUNDDOWN((IF(H123="AFIII",VLOOKUP($D124,Sheet1!$A$34:$K$48,5,FALSE),IF(H123="UBIII",VLOOKUP($D124,Sheet1!$A$34:$K$48,8,FALSE),VLOOKUP($D124,Sheet1!$A$34:$K$48,2,FALSE))))*0.85,2)</f>
        <v>2.4300000000000002</v>
      </c>
      <c r="G124" s="182">
        <f t="shared" si="211"/>
        <v>2.39</v>
      </c>
      <c r="H124" s="183" t="s">
        <v>84</v>
      </c>
      <c r="I124" s="182">
        <f t="shared" ref="I124" si="233">I123-G124</f>
        <v>4.75</v>
      </c>
      <c r="K124" s="182">
        <f t="shared" si="232"/>
        <v>-0.48599999999999888</v>
      </c>
      <c r="L124" s="182">
        <f t="shared" si="217"/>
        <v>3.6939999999999995</v>
      </c>
      <c r="O124" s="182">
        <f>O123-G124</f>
        <v>57.61</v>
      </c>
      <c r="U124" s="184">
        <f t="shared" si="226"/>
        <v>51.413999999999945</v>
      </c>
      <c r="V124" s="201">
        <f>IF(H123="AFIII",VLOOKUP(D124,Sheet1!$A$4:$H$18,5,FALSE),IF(H123="UBIII",VLOOKUP(D124,Sheet1!$A$4:$H$18,8,FALSE),IF(H123="",VLOOKUP(D124,Sheet1!$A$4:$H$18,2,FALSE),"0")))</f>
        <v>1768</v>
      </c>
      <c r="W124" s="201">
        <f t="shared" si="199"/>
        <v>0</v>
      </c>
      <c r="X124" s="208">
        <f t="shared" si="200"/>
        <v>1872</v>
      </c>
      <c r="Y124" s="171" t="str">
        <f t="shared" si="201"/>
        <v>SUCCESS</v>
      </c>
      <c r="Z124" s="171" t="str">
        <f t="shared" si="202"/>
        <v>ERROR</v>
      </c>
      <c r="AA124" s="185">
        <f t="shared" si="208"/>
        <v>147.43213572196248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168</v>
      </c>
      <c r="B125" s="113">
        <f t="shared" si="190"/>
        <v>44888</v>
      </c>
      <c r="C125" s="118">
        <f t="shared" si="219"/>
        <v>305.71600000000007</v>
      </c>
      <c r="D125" s="181" t="s">
        <v>12</v>
      </c>
      <c r="E125" s="182">
        <f>IF(H124="AFIII",VLOOKUP($D125,Sheet1!$A$34:$K$48,5,FALSE),IF(H124="UBIII",VLOOKUP($D125,Sheet1!$A$34:$K$48,8,FALSE),VLOOKUP($D125,Sheet1!$A$34:$K$48,2,FALSE)))</f>
        <v>1.67</v>
      </c>
      <c r="F125" s="182">
        <f>ROUNDDOWN((IF(H124="AFIII",VLOOKUP($D125,Sheet1!$A$34:$K$48,5,FALSE),IF(H124="UBIII",VLOOKUP($D125,Sheet1!$A$34:$K$48,8,FALSE),VLOOKUP($D125,Sheet1!$A$34:$K$48,2,FALSE))))*0.85,2)</f>
        <v>1.41</v>
      </c>
      <c r="G125" s="182">
        <f t="shared" si="211"/>
        <v>2.39</v>
      </c>
      <c r="H125" s="183" t="s">
        <v>122</v>
      </c>
      <c r="I125" s="182">
        <v>10</v>
      </c>
      <c r="K125" s="182">
        <f t="shared" si="232"/>
        <v>-2.875999999999999</v>
      </c>
      <c r="L125" s="182">
        <f t="shared" si="217"/>
        <v>1.3039999999999994</v>
      </c>
      <c r="O125" s="182">
        <f t="shared" ref="O125:O139" si="234">O124-G125</f>
        <v>55.22</v>
      </c>
      <c r="U125" s="184">
        <f t="shared" si="226"/>
        <v>49.023999999999944</v>
      </c>
      <c r="V125" s="201">
        <f>IF(H124="AFIII",VLOOKUP(D125,Sheet1!$A$4:$H$18,5,FALSE),IF(H124="UBIII",VLOOKUP(D125,Sheet1!$A$4:$H$18,8,FALSE),IF(H124="",VLOOKUP(D125,Sheet1!$A$4:$H$18,2,FALSE),"0")))</f>
        <v>265</v>
      </c>
      <c r="W125" s="201">
        <f t="shared" si="199"/>
        <v>0</v>
      </c>
      <c r="X125" s="208">
        <f t="shared" si="200"/>
        <v>1607</v>
      </c>
      <c r="Y125" s="171" t="str">
        <f t="shared" si="201"/>
        <v>SUCCESS</v>
      </c>
      <c r="Z125" s="171" t="str">
        <f t="shared" si="202"/>
        <v>ERROR</v>
      </c>
      <c r="AA125" s="185">
        <f t="shared" si="208"/>
        <v>146.82908320140257</v>
      </c>
    </row>
    <row r="126" spans="1:27">
      <c r="A126" s="122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295</v>
      </c>
      <c r="B126" s="123">
        <f t="shared" si="190"/>
        <v>45183</v>
      </c>
      <c r="C126" s="124">
        <f>C125+G126</f>
        <v>308.57600000000008</v>
      </c>
      <c r="D126" s="186" t="s">
        <v>19</v>
      </c>
      <c r="E126" s="187">
        <f>IF(H125="AFIII",VLOOKUP($D126,Sheet1!$A$34:$K$48,5,FALSE),IF(H125="UBIII",VLOOKUP($D126,Sheet1!$A$34:$K$48,8,FALSE),VLOOKUP($D126,Sheet1!$A$34:$K$48,2,FALSE)))</f>
        <v>2.86</v>
      </c>
      <c r="F126" s="187">
        <f>ROUNDDOWN((IF(H125="AFIII",VLOOKUP($D126,Sheet1!$A$34:$K$48,5,FALSE),IF(H125="UBIII",VLOOKUP($D126,Sheet1!$A$34:$K$48,8,FALSE),VLOOKUP($D126,Sheet1!$A$34:$K$48,2,FALSE))))*0.85,2)</f>
        <v>2.4300000000000002</v>
      </c>
      <c r="G126" s="187">
        <f t="shared" si="211"/>
        <v>2.86</v>
      </c>
      <c r="H126" s="188" t="s">
        <v>122</v>
      </c>
      <c r="I126" s="187">
        <f>I125-G126</f>
        <v>7.1400000000000006</v>
      </c>
      <c r="J126" s="188" t="s">
        <v>138</v>
      </c>
      <c r="K126" s="187">
        <f t="shared" si="232"/>
        <v>-5.7359999999999989</v>
      </c>
      <c r="L126" s="187">
        <f t="shared" si="217"/>
        <v>-1.5560000000000005</v>
      </c>
      <c r="M126" s="188"/>
      <c r="N126" s="187"/>
      <c r="O126" s="187">
        <f t="shared" si="234"/>
        <v>52.36</v>
      </c>
      <c r="P126" s="188" t="s">
        <v>17</v>
      </c>
      <c r="Q126" s="187">
        <v>21</v>
      </c>
      <c r="R126" s="187"/>
      <c r="S126" s="188"/>
      <c r="T126" s="187"/>
      <c r="U126" s="189">
        <f t="shared" si="226"/>
        <v>46.163999999999945</v>
      </c>
      <c r="V126" s="209">
        <f>IF(H125="AFIII",VLOOKUP(D126,Sheet1!$A$4:$H$18,5,FALSE),IF(H125="UBIII",VLOOKUP(D126,Sheet1!$A$4:$H$18,8,FALSE),IF(H125="",VLOOKUP(D126,Sheet1!$A$4:$H$18,2,FALSE),"0")))</f>
        <v>1060</v>
      </c>
      <c r="W126" s="209">
        <f t="shared" si="199"/>
        <v>7033</v>
      </c>
      <c r="X126" s="210">
        <f t="shared" si="200"/>
        <v>7580</v>
      </c>
      <c r="Y126" s="190" t="str">
        <f t="shared" si="201"/>
        <v>SUCCESS</v>
      </c>
      <c r="Z126" s="190" t="str">
        <f t="shared" si="202"/>
        <v>ERROR</v>
      </c>
      <c r="AA126" s="185">
        <f t="shared" si="208"/>
        <v>146.42421964119046</v>
      </c>
    </row>
    <row r="127" spans="1:27">
      <c r="A127" s="112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168</v>
      </c>
      <c r="B127" s="113">
        <f t="shared" si="190"/>
        <v>45351</v>
      </c>
      <c r="C127" s="118">
        <f>C126+G127</f>
        <v>310.96600000000007</v>
      </c>
      <c r="D127" s="181" t="s">
        <v>4</v>
      </c>
      <c r="E127" s="182">
        <f>IF(H126="AFIII",VLOOKUP($D127,Sheet1!$A$34:$K$48,5,FALSE),IF(H126="UBIII",VLOOKUP($D127,Sheet1!$A$34:$K$48,8,FALSE),VLOOKUP($D127,Sheet1!$A$34:$K$48,2,FALSE)))</f>
        <v>1.67</v>
      </c>
      <c r="F127" s="182">
        <f>ROUNDDOWN((IF(H126="AFIII",VLOOKUP($D127,Sheet1!$A$34:$K$48,5,FALSE),IF(H126="UBIII",VLOOKUP($D127,Sheet1!$A$34:$K$48,8,FALSE),VLOOKUP($D127,Sheet1!$A$34:$K$48,2,FALSE))))*0.85,2)</f>
        <v>1.41</v>
      </c>
      <c r="G127" s="182">
        <f t="shared" si="211"/>
        <v>2.39</v>
      </c>
      <c r="H127" s="183" t="s">
        <v>84</v>
      </c>
      <c r="I127" s="182">
        <v>10</v>
      </c>
      <c r="J127" s="183" t="s">
        <v>105</v>
      </c>
      <c r="K127" s="182">
        <v>30</v>
      </c>
      <c r="L127" s="182">
        <v>90</v>
      </c>
      <c r="O127" s="182">
        <f t="shared" si="234"/>
        <v>49.97</v>
      </c>
      <c r="Q127" s="182">
        <f t="shared" ref="Q127:Q134" si="235">Q126-G127</f>
        <v>18.61</v>
      </c>
      <c r="U127" s="184">
        <f t="shared" si="226"/>
        <v>43.773999999999944</v>
      </c>
      <c r="V127" s="201">
        <f>IF(H126="AFIII",VLOOKUP(D127,Sheet1!$A$4:$H$18,5,FALSE),IF(H126="UBIII",VLOOKUP(D127,Sheet1!$A$4:$H$18,8,FALSE),IF(H126="",VLOOKUP(D127,Sheet1!$A$4:$H$18,2,FALSE),"0")))</f>
        <v>442</v>
      </c>
      <c r="W127" s="201">
        <f t="shared" si="199"/>
        <v>7033</v>
      </c>
      <c r="X127" s="208">
        <f t="shared" si="200"/>
        <v>11064</v>
      </c>
      <c r="Y127" s="171" t="str">
        <f t="shared" si="201"/>
        <v>SUCCESS</v>
      </c>
      <c r="Z127" s="171" t="str">
        <f t="shared" si="202"/>
        <v>ERROR</v>
      </c>
      <c r="AA127" s="185">
        <f t="shared" si="208"/>
        <v>145.83909494928702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504</v>
      </c>
      <c r="B128" s="113">
        <f t="shared" si="190"/>
        <v>45855</v>
      </c>
      <c r="C128" s="118">
        <f>C127+G128</f>
        <v>313.82600000000008</v>
      </c>
      <c r="D128" s="181" t="s">
        <v>6</v>
      </c>
      <c r="E128" s="182">
        <f>IF(H127="AFIII",VLOOKUP($D128,Sheet1!$A$34:$K$48,5,FALSE),IF(H127="UBIII",VLOOKUP($D128,Sheet1!$A$34:$K$48,8,FALSE),VLOOKUP($D128,Sheet1!$A$34:$K$48,2,FALSE)))</f>
        <v>2.86</v>
      </c>
      <c r="F128" s="182">
        <f>ROUNDDOWN((IF(H127="AFIII",VLOOKUP($D128,Sheet1!$A$34:$K$48,5,FALSE),IF(H127="UBIII",VLOOKUP($D128,Sheet1!$A$34:$K$48,8,FALSE),VLOOKUP($D128,Sheet1!$A$34:$K$48,2,FALSE))))*0.85,2)</f>
        <v>2.4300000000000002</v>
      </c>
      <c r="G128" s="182">
        <f t="shared" si="211"/>
        <v>2.86</v>
      </c>
      <c r="H128" s="183" t="s">
        <v>84</v>
      </c>
      <c r="I128" s="182">
        <f>I127-G128</f>
        <v>7.1400000000000006</v>
      </c>
      <c r="K128" s="182">
        <f>K127-G128</f>
        <v>27.14</v>
      </c>
      <c r="L128" s="182">
        <f>L127-G128</f>
        <v>87.14</v>
      </c>
      <c r="O128" s="182">
        <f t="shared" si="234"/>
        <v>47.11</v>
      </c>
      <c r="Q128" s="182">
        <f t="shared" si="235"/>
        <v>15.75</v>
      </c>
      <c r="U128" s="184">
        <f t="shared" si="226"/>
        <v>40.913999999999945</v>
      </c>
      <c r="V128" s="201">
        <f>IF(H127="AFIII",VLOOKUP(D128,Sheet1!$A$4:$H$18,5,FALSE),IF(H127="UBIII",VLOOKUP(D128,Sheet1!$A$4:$H$18,8,FALSE),IF(H127="",VLOOKUP(D128,Sheet1!$A$4:$H$18,2,FALSE),"0")))</f>
        <v>1768</v>
      </c>
      <c r="W128" s="201">
        <f t="shared" si="199"/>
        <v>0</v>
      </c>
      <c r="X128" s="208">
        <f t="shared" si="200"/>
        <v>9296</v>
      </c>
      <c r="Y128" s="171" t="str">
        <f t="shared" si="201"/>
        <v>SUCCESS</v>
      </c>
      <c r="Z128" s="171" t="str">
        <f t="shared" si="202"/>
        <v>SUCCESS</v>
      </c>
      <c r="AA128" s="185">
        <f t="shared" si="208"/>
        <v>146.11600058631211</v>
      </c>
    </row>
    <row r="129" spans="1:27">
      <c r="A129" s="11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504</v>
      </c>
      <c r="B129" s="113">
        <f t="shared" si="190"/>
        <v>46359</v>
      </c>
      <c r="C129" s="118">
        <f>C128+G129</f>
        <v>316.68600000000009</v>
      </c>
      <c r="D129" s="181" t="s">
        <v>6</v>
      </c>
      <c r="E129" s="182">
        <f>IF(H128="AFIII",VLOOKUP($D129,Sheet1!$A$34:$K$48,5,FALSE),IF(H128="UBIII",VLOOKUP($D129,Sheet1!$A$34:$K$48,8,FALSE),VLOOKUP($D129,Sheet1!$A$34:$K$48,2,FALSE)))</f>
        <v>2.86</v>
      </c>
      <c r="F129" s="182">
        <f>ROUNDDOWN((IF(H128="AFIII",VLOOKUP($D129,Sheet1!$A$34:$K$48,5,FALSE),IF(H128="UBIII",VLOOKUP($D129,Sheet1!$A$34:$K$48,8,FALSE),VLOOKUP($D129,Sheet1!$A$34:$K$48,2,FALSE))))*0.85,2)</f>
        <v>2.4300000000000002</v>
      </c>
      <c r="G129" s="182">
        <f t="shared" si="211"/>
        <v>2.86</v>
      </c>
      <c r="H129" s="183" t="s">
        <v>84</v>
      </c>
      <c r="I129" s="182">
        <f>I128-G129</f>
        <v>4.2800000000000011</v>
      </c>
      <c r="K129" s="182">
        <f t="shared" ref="K129:K135" si="236">K128-G129</f>
        <v>24.28</v>
      </c>
      <c r="L129" s="182">
        <f t="shared" ref="L129:L161" si="237">L128-G129</f>
        <v>84.28</v>
      </c>
      <c r="O129" s="182">
        <f t="shared" si="234"/>
        <v>44.25</v>
      </c>
      <c r="P129" s="183" t="s">
        <v>131</v>
      </c>
      <c r="Q129" s="182">
        <f t="shared" si="235"/>
        <v>12.89</v>
      </c>
      <c r="R129" s="182">
        <v>60</v>
      </c>
      <c r="U129" s="184">
        <f t="shared" si="226"/>
        <v>38.053999999999945</v>
      </c>
      <c r="V129" s="201">
        <f>IF(H128="AFIII",VLOOKUP(D129,Sheet1!$A$4:$H$18,5,FALSE),IF(H128="UBIII",VLOOKUP(D129,Sheet1!$A$4:$H$18,8,FALSE),IF(H128="",VLOOKUP(D129,Sheet1!$A$4:$H$18,2,FALSE),"0")))</f>
        <v>1768</v>
      </c>
      <c r="W129" s="201">
        <f t="shared" si="199"/>
        <v>0</v>
      </c>
      <c r="X129" s="208">
        <f t="shared" si="200"/>
        <v>7528</v>
      </c>
      <c r="Y129" s="171" t="str">
        <f t="shared" si="201"/>
        <v>SUCCESS</v>
      </c>
      <c r="Z129" s="171" t="str">
        <f t="shared" si="202"/>
        <v>SUCCESS</v>
      </c>
      <c r="AA129" s="185">
        <f t="shared" si="208"/>
        <v>146.3879047384475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324</v>
      </c>
      <c r="B130" s="113">
        <f t="shared" si="190"/>
        <v>46683</v>
      </c>
      <c r="C130" s="118">
        <f t="shared" ref="C130:C161" si="238">C129+G130</f>
        <v>319.07600000000008</v>
      </c>
      <c r="D130" s="181" t="s">
        <v>1</v>
      </c>
      <c r="E130" s="182">
        <f>IF(H129="AFIII",VLOOKUP($D130,Sheet1!$A$34:$K$48,5,FALSE),IF(H129="UBIII",VLOOKUP($D130,Sheet1!$A$34:$K$48,8,FALSE),VLOOKUP($D130,Sheet1!$A$34:$K$48,2,FALSE)))</f>
        <v>2.39</v>
      </c>
      <c r="F130" s="182">
        <f>ROUNDDOWN((IF(H129="AFIII",VLOOKUP($D130,Sheet1!$A$34:$K$48,5,FALSE),IF(H129="UBIII",VLOOKUP($D130,Sheet1!$A$34:$K$48,8,FALSE),VLOOKUP($D130,Sheet1!$A$34:$K$48,2,FALSE))))*0.85,2)</f>
        <v>2.0299999999999998</v>
      </c>
      <c r="G130" s="182">
        <f t="shared" si="211"/>
        <v>2.39</v>
      </c>
      <c r="H130" s="183" t="s">
        <v>84</v>
      </c>
      <c r="I130" s="182">
        <v>10</v>
      </c>
      <c r="K130" s="182">
        <f t="shared" si="236"/>
        <v>21.89</v>
      </c>
      <c r="L130" s="182">
        <f t="shared" si="237"/>
        <v>81.89</v>
      </c>
      <c r="O130" s="182">
        <f t="shared" si="234"/>
        <v>41.86</v>
      </c>
      <c r="Q130" s="182">
        <f t="shared" si="235"/>
        <v>10.5</v>
      </c>
      <c r="R130" s="182">
        <f>R129-G130</f>
        <v>57.61</v>
      </c>
      <c r="U130" s="184">
        <f t="shared" si="226"/>
        <v>35.663999999999945</v>
      </c>
      <c r="V130" s="201">
        <f>IF(H129="AFIII",VLOOKUP(D130,Sheet1!$A$4:$H$18,5,FALSE),IF(H129="UBIII",VLOOKUP(D130,Sheet1!$A$4:$H$18,8,FALSE),IF(H129="",VLOOKUP(D130,Sheet1!$A$4:$H$18,2,FALSE),"0")))</f>
        <v>2120</v>
      </c>
      <c r="W130" s="201">
        <f t="shared" si="199"/>
        <v>0</v>
      </c>
      <c r="X130" s="208">
        <f t="shared" si="200"/>
        <v>5408</v>
      </c>
      <c r="Y130" s="171" t="str">
        <f t="shared" si="201"/>
        <v>SUCCESS</v>
      </c>
      <c r="Z130" s="171" t="str">
        <f t="shared" si="202"/>
        <v>SUCCESS</v>
      </c>
      <c r="AA130" s="185">
        <f t="shared" si="208"/>
        <v>146.30683598891795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432</v>
      </c>
      <c r="B131" s="113">
        <f t="shared" si="190"/>
        <v>47115</v>
      </c>
      <c r="C131" s="118">
        <f t="shared" si="238"/>
        <v>321.46600000000007</v>
      </c>
      <c r="D131" s="181" t="s">
        <v>129</v>
      </c>
      <c r="E131" s="182">
        <f>IF(H130="AFIII",VLOOKUP($D131,Sheet1!$A$34:$K$48,5,FALSE),IF(H130="UBIII",VLOOKUP($D131,Sheet1!$A$34:$K$48,8,FALSE),VLOOKUP($D131,Sheet1!$A$34:$K$48,2,FALSE)))</f>
        <v>2.39</v>
      </c>
      <c r="F131" s="182">
        <f>ROUNDDOWN((IF(H130="AFIII",VLOOKUP($D131,Sheet1!$A$34:$K$48,5,FALSE),IF(H130="UBIII",VLOOKUP($D131,Sheet1!$A$34:$K$48,8,FALSE),VLOOKUP($D131,Sheet1!$A$34:$K$48,2,FALSE))))*0.85,2)</f>
        <v>2.0299999999999998</v>
      </c>
      <c r="G131" s="182">
        <f t="shared" si="211"/>
        <v>2.39</v>
      </c>
      <c r="H131" s="183" t="s">
        <v>84</v>
      </c>
      <c r="I131" s="182">
        <v>10</v>
      </c>
      <c r="K131" s="182">
        <f t="shared" si="236"/>
        <v>19.5</v>
      </c>
      <c r="L131" s="182">
        <f t="shared" si="237"/>
        <v>79.5</v>
      </c>
      <c r="O131" s="182">
        <f t="shared" si="234"/>
        <v>39.47</v>
      </c>
      <c r="Q131" s="182">
        <f t="shared" si="235"/>
        <v>8.11</v>
      </c>
      <c r="R131" s="182">
        <f t="shared" ref="R131:R149" si="239">R130-G131</f>
        <v>55.22</v>
      </c>
      <c r="U131" s="184">
        <f t="shared" si="226"/>
        <v>33.273999999999944</v>
      </c>
      <c r="V131" s="201">
        <f>IF(H130="AFIII",VLOOKUP(D131,Sheet1!$A$4:$H$18,5,FALSE),IF(H130="UBIII",VLOOKUP(D131,Sheet1!$A$4:$H$18,8,FALSE),IF(H130="",VLOOKUP(D131,Sheet1!$A$4:$H$18,2,FALSE),"0")))</f>
        <v>0</v>
      </c>
      <c r="W131" s="201">
        <f t="shared" si="199"/>
        <v>0</v>
      </c>
      <c r="X131" s="208">
        <f t="shared" si="200"/>
        <v>5408</v>
      </c>
      <c r="Y131" s="171" t="str">
        <f t="shared" si="201"/>
        <v>SUCCESS</v>
      </c>
      <c r="Z131" s="171" t="str">
        <f t="shared" si="202"/>
        <v>SUCCESS</v>
      </c>
      <c r="AA131" s="185">
        <f t="shared" si="208"/>
        <v>146.56293356062537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190"/>
        <v>47619</v>
      </c>
      <c r="C132" s="118">
        <f t="shared" si="238"/>
        <v>324.32600000000008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211"/>
        <v>2.86</v>
      </c>
      <c r="H132" s="183" t="s">
        <v>84</v>
      </c>
      <c r="I132" s="182">
        <f>I131-G132</f>
        <v>7.1400000000000006</v>
      </c>
      <c r="K132" s="182">
        <f t="shared" si="236"/>
        <v>16.64</v>
      </c>
      <c r="L132" s="182">
        <f t="shared" si="237"/>
        <v>76.64</v>
      </c>
      <c r="O132" s="182">
        <f t="shared" si="234"/>
        <v>36.61</v>
      </c>
      <c r="Q132" s="182">
        <f t="shared" si="235"/>
        <v>5.25</v>
      </c>
      <c r="R132" s="182">
        <f t="shared" si="239"/>
        <v>52.36</v>
      </c>
      <c r="U132" s="184">
        <f t="shared" si="226"/>
        <v>30.413999999999945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199"/>
        <v>0</v>
      </c>
      <c r="X132" s="208">
        <f t="shared" si="200"/>
        <v>3640</v>
      </c>
      <c r="Y132" s="171" t="str">
        <f t="shared" si="201"/>
        <v>SUCCESS</v>
      </c>
      <c r="Z132" s="171" t="str">
        <f t="shared" si="202"/>
        <v>SUCCESS</v>
      </c>
      <c r="AA132" s="185">
        <f t="shared" si="208"/>
        <v>146.82449140679435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504</v>
      </c>
      <c r="B133" s="113">
        <f t="shared" si="190"/>
        <v>48123</v>
      </c>
      <c r="C133" s="118">
        <f t="shared" si="238"/>
        <v>327.18600000000009</v>
      </c>
      <c r="D133" s="181" t="s">
        <v>6</v>
      </c>
      <c r="E133" s="182">
        <f>IF(H132="AFIII",VLOOKUP($D133,Sheet1!$A$34:$K$48,5,FALSE),IF(H132="UBIII",VLOOKUP($D133,Sheet1!$A$34:$K$48,8,FALSE),VLOOKUP($D133,Sheet1!$A$34:$K$48,2,FALSE)))</f>
        <v>2.86</v>
      </c>
      <c r="F133" s="182">
        <f>ROUNDDOWN((IF(H132="AFIII",VLOOKUP($D133,Sheet1!$A$34:$K$48,5,FALSE),IF(H132="UBIII",VLOOKUP($D133,Sheet1!$A$34:$K$48,8,FALSE),VLOOKUP($D133,Sheet1!$A$34:$K$48,2,FALSE))))*0.85,2)</f>
        <v>2.4300000000000002</v>
      </c>
      <c r="G133" s="182">
        <f t="shared" si="211"/>
        <v>2.86</v>
      </c>
      <c r="H133" s="183" t="s">
        <v>84</v>
      </c>
      <c r="I133" s="182">
        <f>I132-G133</f>
        <v>4.2800000000000011</v>
      </c>
      <c r="K133" s="182">
        <f t="shared" si="236"/>
        <v>13.780000000000001</v>
      </c>
      <c r="L133" s="182">
        <f t="shared" si="237"/>
        <v>73.78</v>
      </c>
      <c r="O133" s="182">
        <f t="shared" si="234"/>
        <v>33.75</v>
      </c>
      <c r="Q133" s="182">
        <f t="shared" si="235"/>
        <v>2.39</v>
      </c>
      <c r="R133" s="182">
        <f t="shared" si="239"/>
        <v>49.5</v>
      </c>
      <c r="U133" s="184">
        <f t="shared" si="226"/>
        <v>27.553999999999945</v>
      </c>
      <c r="V133" s="201">
        <f>IF(H132="AFIII",VLOOKUP(D133,Sheet1!$A$4:$H$18,5,FALSE),IF(H132="UBIII",VLOOKUP(D133,Sheet1!$A$4:$H$18,8,FALSE),IF(H132="",VLOOKUP(D133,Sheet1!$A$4:$H$18,2,FALSE),"0")))</f>
        <v>1768</v>
      </c>
      <c r="W133" s="201">
        <f t="shared" si="199"/>
        <v>0</v>
      </c>
      <c r="X133" s="208">
        <f t="shared" si="200"/>
        <v>1872</v>
      </c>
      <c r="Y133" s="171" t="str">
        <f t="shared" si="201"/>
        <v>SUCCESS</v>
      </c>
      <c r="Z133" s="171" t="str">
        <f t="shared" si="202"/>
        <v>SUCCESS</v>
      </c>
      <c r="AA133" s="185">
        <f t="shared" si="208"/>
        <v>147.08147659129665</v>
      </c>
    </row>
    <row r="134" spans="1:27">
      <c r="A134" s="11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168</v>
      </c>
      <c r="B134" s="113">
        <f t="shared" si="190"/>
        <v>48291</v>
      </c>
      <c r="C134" s="118">
        <f t="shared" si="238"/>
        <v>329.57600000000008</v>
      </c>
      <c r="D134" s="181" t="s">
        <v>12</v>
      </c>
      <c r="E134" s="182">
        <f>IF(H133="AFIII",VLOOKUP($D134,Sheet1!$A$34:$K$48,5,FALSE),IF(H133="UBIII",VLOOKUP($D134,Sheet1!$A$34:$K$48,8,FALSE),VLOOKUP($D134,Sheet1!$A$34:$K$48,2,FALSE)))</f>
        <v>1.67</v>
      </c>
      <c r="F134" s="182">
        <f>ROUNDDOWN((IF(H133="AFIII",VLOOKUP($D134,Sheet1!$A$34:$K$48,5,FALSE),IF(H133="UBIII",VLOOKUP($D134,Sheet1!$A$34:$K$48,8,FALSE),VLOOKUP($D134,Sheet1!$A$34:$K$48,2,FALSE))))*0.85,2)</f>
        <v>1.41</v>
      </c>
      <c r="G134" s="182">
        <f t="shared" si="211"/>
        <v>2.39</v>
      </c>
      <c r="H134" s="183" t="s">
        <v>122</v>
      </c>
      <c r="I134" s="182">
        <v>10</v>
      </c>
      <c r="K134" s="182">
        <f t="shared" si="236"/>
        <v>11.39</v>
      </c>
      <c r="L134" s="182">
        <f t="shared" si="237"/>
        <v>71.39</v>
      </c>
      <c r="O134" s="182">
        <f t="shared" si="234"/>
        <v>31.36</v>
      </c>
      <c r="Q134" s="182">
        <f t="shared" si="235"/>
        <v>0</v>
      </c>
      <c r="R134" s="182">
        <f t="shared" si="239"/>
        <v>47.11</v>
      </c>
      <c r="U134" s="184">
        <f t="shared" si="226"/>
        <v>25.163999999999945</v>
      </c>
      <c r="V134" s="201">
        <f>IF(H133="AFIII",VLOOKUP(D134,Sheet1!$A$4:$H$18,5,FALSE),IF(H133="UBIII",VLOOKUP(D134,Sheet1!$A$4:$H$18,8,FALSE),IF(H133="",VLOOKUP(D134,Sheet1!$A$4:$H$18,2,FALSE),"0")))</f>
        <v>265</v>
      </c>
      <c r="W134" s="201">
        <f t="shared" si="199"/>
        <v>0</v>
      </c>
      <c r="X134" s="208">
        <f t="shared" si="200"/>
        <v>1607</v>
      </c>
      <c r="Y134" s="171" t="str">
        <f t="shared" si="201"/>
        <v>SUCCESS</v>
      </c>
      <c r="Z134" s="171" t="str">
        <f t="shared" si="202"/>
        <v>SUCCESS</v>
      </c>
      <c r="AA134" s="185">
        <f t="shared" si="208"/>
        <v>146.52462557953245</v>
      </c>
    </row>
    <row r="135" spans="1:27">
      <c r="A135" s="112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295</v>
      </c>
      <c r="B135" s="113">
        <f t="shared" si="190"/>
        <v>48586</v>
      </c>
      <c r="C135" s="118">
        <f t="shared" si="238"/>
        <v>332.43600000000009</v>
      </c>
      <c r="D135" s="181" t="s">
        <v>19</v>
      </c>
      <c r="E135" s="182">
        <f>IF(H134="AFIII",VLOOKUP($D135,Sheet1!$A$34:$K$48,5,FALSE),IF(H134="UBIII",VLOOKUP($D135,Sheet1!$A$34:$K$48,8,FALSE),VLOOKUP($D135,Sheet1!$A$34:$K$48,2,FALSE)))</f>
        <v>2.86</v>
      </c>
      <c r="F135" s="182">
        <f>ROUNDDOWN((IF(H134="AFIII",VLOOKUP($D135,Sheet1!$A$34:$K$48,5,FALSE),IF(H134="UBIII",VLOOKUP($D135,Sheet1!$A$34:$K$48,8,FALSE),VLOOKUP($D135,Sheet1!$A$34:$K$48,2,FALSE))))*0.85,2)</f>
        <v>2.4300000000000002</v>
      </c>
      <c r="G135" s="182">
        <f t="shared" si="211"/>
        <v>2.86</v>
      </c>
      <c r="H135" s="183" t="s">
        <v>122</v>
      </c>
      <c r="I135" s="182">
        <f>I134-G135</f>
        <v>7.1400000000000006</v>
      </c>
      <c r="K135" s="182">
        <f t="shared" si="236"/>
        <v>8.5300000000000011</v>
      </c>
      <c r="L135" s="182">
        <f t="shared" si="237"/>
        <v>68.53</v>
      </c>
      <c r="O135" s="182">
        <f t="shared" si="234"/>
        <v>28.5</v>
      </c>
      <c r="P135" s="183" t="s">
        <v>17</v>
      </c>
      <c r="Q135" s="182">
        <v>21</v>
      </c>
      <c r="R135" s="182">
        <f t="shared" si="239"/>
        <v>44.25</v>
      </c>
      <c r="U135" s="184">
        <f t="shared" si="226"/>
        <v>22.303999999999945</v>
      </c>
      <c r="V135" s="201">
        <f>IF(H134="AFIII",VLOOKUP(D135,Sheet1!$A$4:$H$18,5,FALSE),IF(H134="UBIII",VLOOKUP(D135,Sheet1!$A$4:$H$18,8,FALSE),IF(H134="",VLOOKUP(D135,Sheet1!$A$4:$H$18,2,FALSE),"0")))</f>
        <v>1060</v>
      </c>
      <c r="W135" s="201">
        <f t="shared" si="199"/>
        <v>7033</v>
      </c>
      <c r="X135" s="208">
        <f t="shared" si="200"/>
        <v>7580</v>
      </c>
      <c r="Y135" s="171" t="str">
        <f t="shared" si="201"/>
        <v>SUCCESS</v>
      </c>
      <c r="Z135" s="171" t="str">
        <f t="shared" si="202"/>
        <v>SUCCESS</v>
      </c>
      <c r="AA135" s="185">
        <f t="shared" si="208"/>
        <v>146.1514396756067</v>
      </c>
    </row>
    <row r="136" spans="1:27">
      <c r="A136" s="119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280</v>
      </c>
      <c r="B136" s="120">
        <f t="shared" si="190"/>
        <v>48866</v>
      </c>
      <c r="C136" s="121">
        <f t="shared" si="238"/>
        <v>335.29600000000011</v>
      </c>
      <c r="D136" s="191" t="s">
        <v>14</v>
      </c>
      <c r="E136" s="192">
        <f>IF(H135="AFIII",VLOOKUP($D136,Sheet1!$A$34:$K$48,5,FALSE),IF(H135="UBIII",VLOOKUP($D136,Sheet1!$A$34:$K$48,8,FALSE),VLOOKUP($D136,Sheet1!$A$34:$K$48,2,FALSE)))</f>
        <v>2.86</v>
      </c>
      <c r="F136" s="192">
        <f>ROUNDDOWN((IF(H135="AFIII",VLOOKUP($D136,Sheet1!$A$34:$K$48,5,FALSE),IF(H135="UBIII",VLOOKUP($D136,Sheet1!$A$34:$K$48,8,FALSE),VLOOKUP($D136,Sheet1!$A$34:$K$48,2,FALSE))))*0.85,2)</f>
        <v>2.4300000000000002</v>
      </c>
      <c r="G136" s="192">
        <f t="shared" si="211"/>
        <v>2.86</v>
      </c>
      <c r="H136" s="193" t="s">
        <v>122</v>
      </c>
      <c r="I136" s="192">
        <f>I135-G136</f>
        <v>4.2800000000000011</v>
      </c>
      <c r="J136" s="193"/>
      <c r="K136" s="192">
        <v>25</v>
      </c>
      <c r="L136" s="192">
        <f t="shared" si="237"/>
        <v>65.67</v>
      </c>
      <c r="M136" s="193"/>
      <c r="N136" s="192"/>
      <c r="O136" s="192">
        <f t="shared" si="234"/>
        <v>25.64</v>
      </c>
      <c r="P136" s="193"/>
      <c r="Q136" s="192">
        <f>Q135-G136</f>
        <v>18.14</v>
      </c>
      <c r="R136" s="192">
        <f t="shared" si="239"/>
        <v>41.39</v>
      </c>
      <c r="S136" s="193"/>
      <c r="T136" s="192"/>
      <c r="U136" s="194">
        <f t="shared" si="226"/>
        <v>19.443999999999946</v>
      </c>
      <c r="V136" s="211">
        <f>IF(H135="AFIII",VLOOKUP(D136,Sheet1!$A$4:$H$18,5,FALSE),IF(H135="UBIII",VLOOKUP(D136,Sheet1!$A$4:$H$18,8,FALSE),IF(H135="",VLOOKUP(D136,Sheet1!$A$4:$H$18,2,FALSE),"0")))</f>
        <v>884</v>
      </c>
      <c r="W136" s="211">
        <f t="shared" si="199"/>
        <v>7033</v>
      </c>
      <c r="X136" s="212">
        <f t="shared" si="200"/>
        <v>10622</v>
      </c>
      <c r="Y136" s="195" t="str">
        <f t="shared" si="201"/>
        <v>SUCCESS</v>
      </c>
      <c r="Z136" s="195" t="str">
        <f t="shared" si="202"/>
        <v>SUCCESS</v>
      </c>
      <c r="AA136" s="185">
        <f t="shared" si="208"/>
        <v>145.73988356556589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168</v>
      </c>
      <c r="B137" s="113">
        <f t="shared" ref="B137:B161" si="240">B136+A137</f>
        <v>49034</v>
      </c>
      <c r="C137" s="118">
        <f t="shared" si="238"/>
        <v>337.68600000000009</v>
      </c>
      <c r="D137" s="181" t="s">
        <v>4</v>
      </c>
      <c r="E137" s="182">
        <f>IF(H136="AFIII",VLOOKUP($D137,Sheet1!$A$34:$K$48,5,FALSE),IF(H136="UBIII",VLOOKUP($D137,Sheet1!$A$34:$K$48,8,FALSE),VLOOKUP($D137,Sheet1!$A$34:$K$48,2,FALSE)))</f>
        <v>1.67</v>
      </c>
      <c r="F137" s="182">
        <f>ROUNDDOWN((IF(H136="AFIII",VLOOKUP($D137,Sheet1!$A$34:$K$48,5,FALSE),IF(H136="UBIII",VLOOKUP($D137,Sheet1!$A$34:$K$48,8,FALSE),VLOOKUP($D137,Sheet1!$A$34:$K$48,2,FALSE))))*0.85,2)</f>
        <v>1.41</v>
      </c>
      <c r="G137" s="182">
        <f t="shared" si="211"/>
        <v>2.39</v>
      </c>
      <c r="H137" s="183" t="s">
        <v>84</v>
      </c>
      <c r="I137" s="182">
        <v>10</v>
      </c>
      <c r="K137" s="182">
        <f t="shared" ref="K137:K140" si="241">K136-G137</f>
        <v>22.61</v>
      </c>
      <c r="L137" s="182">
        <f t="shared" si="237"/>
        <v>63.28</v>
      </c>
      <c r="O137" s="182">
        <f t="shared" si="234"/>
        <v>23.25</v>
      </c>
      <c r="Q137" s="182">
        <f t="shared" ref="Q137:Q143" si="242">Q136-G137</f>
        <v>15.75</v>
      </c>
      <c r="R137" s="182">
        <f t="shared" si="239"/>
        <v>39</v>
      </c>
      <c r="U137" s="184">
        <f t="shared" si="226"/>
        <v>17.053999999999945</v>
      </c>
      <c r="V137" s="201">
        <f>IF(H136="AFIII",VLOOKUP(D137,Sheet1!$A$4:$H$18,5,FALSE),IF(H136="UBIII",VLOOKUP(D137,Sheet1!$A$4:$H$18,8,FALSE),IF(H136="",VLOOKUP(D137,Sheet1!$A$4:$H$18,2,FALSE),"0")))</f>
        <v>442</v>
      </c>
      <c r="W137" s="201">
        <f t="shared" ref="W137:W161" si="243">IF(H136="UBIII",$X$2,0)</f>
        <v>7033</v>
      </c>
      <c r="X137" s="208">
        <f t="shared" ref="X137:X161" si="244">IF(D137="フレア",IF(M137="コンバート",$X$1,0),IF(X136-V137+W137&gt;$X$3,$X$3-V137,X136-V137+W137))</f>
        <v>11064</v>
      </c>
      <c r="Y137" s="171" t="str">
        <f t="shared" ref="Y137:Y161" si="245">IF(X136-V137&lt;0,"ERROR","SUCCESS")</f>
        <v>SUCCESS</v>
      </c>
      <c r="Z137" s="171" t="str">
        <f t="shared" ref="Z137:Z161" si="246">IF(K136-G137&lt;0,"ERROR","SUCCESS")</f>
        <v>SUCCESS</v>
      </c>
      <c r="AA137" s="185">
        <f t="shared" si="208"/>
        <v>145.20590134029834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504</v>
      </c>
      <c r="B138" s="113">
        <f t="shared" si="240"/>
        <v>49538</v>
      </c>
      <c r="C138" s="118">
        <f t="shared" si="238"/>
        <v>340.54600000000011</v>
      </c>
      <c r="D138" s="181" t="s">
        <v>6</v>
      </c>
      <c r="E138" s="182">
        <f>IF(H137="AFIII",VLOOKUP($D138,Sheet1!$A$34:$K$48,5,FALSE),IF(H137="UBIII",VLOOKUP($D138,Sheet1!$A$34:$K$48,8,FALSE),VLOOKUP($D138,Sheet1!$A$34:$K$48,2,FALSE)))</f>
        <v>2.86</v>
      </c>
      <c r="F138" s="182">
        <f>ROUNDDOWN((IF(H137="AFIII",VLOOKUP($D138,Sheet1!$A$34:$K$48,5,FALSE),IF(H137="UBIII",VLOOKUP($D138,Sheet1!$A$34:$K$48,8,FALSE),VLOOKUP($D138,Sheet1!$A$34:$K$48,2,FALSE))))*0.85,2)</f>
        <v>2.4300000000000002</v>
      </c>
      <c r="G138" s="182">
        <f t="shared" si="211"/>
        <v>2.86</v>
      </c>
      <c r="H138" s="183" t="s">
        <v>84</v>
      </c>
      <c r="I138" s="182">
        <f>I137-G138</f>
        <v>7.1400000000000006</v>
      </c>
      <c r="K138" s="182">
        <f t="shared" si="241"/>
        <v>19.75</v>
      </c>
      <c r="L138" s="182">
        <f t="shared" si="237"/>
        <v>60.42</v>
      </c>
      <c r="O138" s="182">
        <f t="shared" si="234"/>
        <v>20.39</v>
      </c>
      <c r="Q138" s="182">
        <f t="shared" si="242"/>
        <v>12.89</v>
      </c>
      <c r="R138" s="182">
        <f t="shared" si="239"/>
        <v>36.14</v>
      </c>
      <c r="U138" s="184">
        <f t="shared" si="226"/>
        <v>14.193999999999946</v>
      </c>
      <c r="V138" s="201">
        <f>IF(H137="AFIII",VLOOKUP(D138,Sheet1!$A$4:$H$18,5,FALSE),IF(H137="UBIII",VLOOKUP(D138,Sheet1!$A$4:$H$18,8,FALSE),IF(H137="",VLOOKUP(D138,Sheet1!$A$4:$H$18,2,FALSE),"0")))</f>
        <v>1768</v>
      </c>
      <c r="W138" s="201">
        <f t="shared" si="243"/>
        <v>0</v>
      </c>
      <c r="X138" s="208">
        <f t="shared" si="244"/>
        <v>9296</v>
      </c>
      <c r="Y138" s="171" t="str">
        <f t="shared" si="245"/>
        <v>SUCCESS</v>
      </c>
      <c r="Z138" s="171" t="str">
        <f t="shared" si="246"/>
        <v>SUCCESS</v>
      </c>
      <c r="AA138" s="185">
        <f t="shared" si="208"/>
        <v>145.46639807837997</v>
      </c>
    </row>
    <row r="139" spans="1:27">
      <c r="A139" s="112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504</v>
      </c>
      <c r="B139" s="113">
        <f t="shared" si="240"/>
        <v>50042</v>
      </c>
      <c r="C139" s="118">
        <f t="shared" si="238"/>
        <v>343.40600000000012</v>
      </c>
      <c r="D139" s="181" t="s">
        <v>6</v>
      </c>
      <c r="E139" s="182">
        <f>IF(H138="AFIII",VLOOKUP($D139,Sheet1!$A$34:$K$48,5,FALSE),IF(H138="UBIII",VLOOKUP($D139,Sheet1!$A$34:$K$48,8,FALSE),VLOOKUP($D139,Sheet1!$A$34:$K$48,2,FALSE)))</f>
        <v>2.86</v>
      </c>
      <c r="F139" s="182">
        <f>ROUNDDOWN((IF(H138="AFIII",VLOOKUP($D139,Sheet1!$A$34:$K$48,5,FALSE),IF(H138="UBIII",VLOOKUP($D139,Sheet1!$A$34:$K$48,8,FALSE),VLOOKUP($D139,Sheet1!$A$34:$K$48,2,FALSE))))*0.85,2)</f>
        <v>2.4300000000000002</v>
      </c>
      <c r="G139" s="182">
        <f t="shared" si="211"/>
        <v>2.86</v>
      </c>
      <c r="H139" s="183" t="s">
        <v>84</v>
      </c>
      <c r="I139" s="182">
        <f t="shared" ref="I139" si="247">I138-G139</f>
        <v>4.2800000000000011</v>
      </c>
      <c r="K139" s="182">
        <f t="shared" si="241"/>
        <v>16.89</v>
      </c>
      <c r="L139" s="182">
        <f t="shared" si="237"/>
        <v>57.56</v>
      </c>
      <c r="O139" s="182">
        <f t="shared" si="234"/>
        <v>17.53</v>
      </c>
      <c r="Q139" s="182">
        <f t="shared" si="242"/>
        <v>10.030000000000001</v>
      </c>
      <c r="R139" s="182">
        <f t="shared" si="239"/>
        <v>33.28</v>
      </c>
      <c r="U139" s="184">
        <f t="shared" si="226"/>
        <v>11.333999999999946</v>
      </c>
      <c r="V139" s="201">
        <f>IF(H138="AFIII",VLOOKUP(D139,Sheet1!$A$4:$H$18,5,FALSE),IF(H138="UBIII",VLOOKUP(D139,Sheet1!$A$4:$H$18,8,FALSE),IF(H138="",VLOOKUP(D139,Sheet1!$A$4:$H$18,2,FALSE),"0")))</f>
        <v>1768</v>
      </c>
      <c r="W139" s="201">
        <f t="shared" si="243"/>
        <v>0</v>
      </c>
      <c r="X139" s="208">
        <f t="shared" si="244"/>
        <v>7528</v>
      </c>
      <c r="Y139" s="171" t="str">
        <f t="shared" si="245"/>
        <v>SUCCESS</v>
      </c>
      <c r="Z139" s="171" t="str">
        <f t="shared" si="246"/>
        <v>SUCCESS</v>
      </c>
      <c r="AA139" s="185">
        <f t="shared" si="208"/>
        <v>145.72255580857637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324</v>
      </c>
      <c r="B140" s="113">
        <f t="shared" si="240"/>
        <v>50366</v>
      </c>
      <c r="C140" s="118">
        <f t="shared" si="238"/>
        <v>345.79600000000011</v>
      </c>
      <c r="D140" s="181" t="s">
        <v>1</v>
      </c>
      <c r="E140" s="182">
        <f>IF(H139="AFIII",VLOOKUP($D140,Sheet1!$A$34:$K$48,5,FALSE),IF(H139="UBIII",VLOOKUP($D140,Sheet1!$A$34:$K$48,8,FALSE),VLOOKUP($D140,Sheet1!$A$34:$K$48,2,FALSE)))</f>
        <v>2.39</v>
      </c>
      <c r="F140" s="182">
        <f>ROUNDDOWN((IF(H139="AFIII",VLOOKUP($D140,Sheet1!$A$34:$K$48,5,FALSE),IF(H139="UBIII",VLOOKUP($D140,Sheet1!$A$34:$K$48,8,FALSE),VLOOKUP($D140,Sheet1!$A$34:$K$48,2,FALSE))))*0.85,2)</f>
        <v>2.0299999999999998</v>
      </c>
      <c r="G140" s="182">
        <f t="shared" si="211"/>
        <v>2.39</v>
      </c>
      <c r="H140" s="183" t="s">
        <v>84</v>
      </c>
      <c r="I140" s="182">
        <v>10</v>
      </c>
      <c r="K140" s="182">
        <f t="shared" si="241"/>
        <v>14.5</v>
      </c>
      <c r="L140" s="182">
        <f t="shared" si="237"/>
        <v>55.17</v>
      </c>
      <c r="O140" s="182">
        <f>O139-G140</f>
        <v>15.14</v>
      </c>
      <c r="Q140" s="182">
        <f t="shared" si="242"/>
        <v>7.6400000000000006</v>
      </c>
      <c r="R140" s="182">
        <f t="shared" si="239"/>
        <v>30.89</v>
      </c>
      <c r="U140" s="184">
        <f t="shared" si="226"/>
        <v>8.9439999999999458</v>
      </c>
      <c r="V140" s="201">
        <f>IF(H139="AFIII",VLOOKUP(D140,Sheet1!$A$4:$H$18,5,FALSE),IF(H139="UBIII",VLOOKUP(D140,Sheet1!$A$4:$H$18,8,FALSE),IF(H139="",VLOOKUP(D140,Sheet1!$A$4:$H$18,2,FALSE),"0")))</f>
        <v>2120</v>
      </c>
      <c r="W140" s="201">
        <f t="shared" si="243"/>
        <v>0</v>
      </c>
      <c r="X140" s="208">
        <f t="shared" si="244"/>
        <v>5408</v>
      </c>
      <c r="Y140" s="171" t="str">
        <f t="shared" si="245"/>
        <v>SUCCESS</v>
      </c>
      <c r="Z140" s="171" t="str">
        <f t="shared" si="246"/>
        <v>SUCCESS</v>
      </c>
      <c r="AA140" s="185">
        <f t="shared" si="208"/>
        <v>145.65234994042726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504</v>
      </c>
      <c r="B141" s="113">
        <f t="shared" si="240"/>
        <v>50870</v>
      </c>
      <c r="C141" s="118">
        <f t="shared" si="238"/>
        <v>348.65600000000012</v>
      </c>
      <c r="D141" s="181" t="s">
        <v>6</v>
      </c>
      <c r="E141" s="182">
        <f>IF(H140="AFIII",VLOOKUP($D141,Sheet1!$A$34:$K$48,5,FALSE),IF(H140="UBIII",VLOOKUP($D141,Sheet1!$A$34:$K$48,8,FALSE),VLOOKUP($D141,Sheet1!$A$34:$K$48,2,FALSE)))</f>
        <v>2.86</v>
      </c>
      <c r="F141" s="182">
        <f>ROUNDDOWN((IF(H140="AFIII",VLOOKUP($D141,Sheet1!$A$34:$K$48,5,FALSE),IF(H140="UBIII",VLOOKUP($D141,Sheet1!$A$34:$K$48,8,FALSE),VLOOKUP($D141,Sheet1!$A$34:$K$48,2,FALSE))))*0.85,2)</f>
        <v>2.4300000000000002</v>
      </c>
      <c r="G141" s="182">
        <f t="shared" si="211"/>
        <v>2.86</v>
      </c>
      <c r="H141" s="183" t="s">
        <v>84</v>
      </c>
      <c r="I141" s="182">
        <f t="shared" ref="I141:I142" si="248">I140-G141</f>
        <v>7.1400000000000006</v>
      </c>
      <c r="K141" s="182">
        <f>K140-G141</f>
        <v>11.64</v>
      </c>
      <c r="L141" s="182">
        <f t="shared" si="237"/>
        <v>52.31</v>
      </c>
      <c r="O141" s="182">
        <f t="shared" ref="O141:O147" si="249">O140-G141</f>
        <v>12.280000000000001</v>
      </c>
      <c r="Q141" s="182">
        <f t="shared" si="242"/>
        <v>4.7800000000000011</v>
      </c>
      <c r="R141" s="182">
        <f t="shared" si="239"/>
        <v>28.03</v>
      </c>
      <c r="U141" s="184">
        <f t="shared" si="226"/>
        <v>6.0839999999999463</v>
      </c>
      <c r="V141" s="201">
        <f>IF(H140="AFIII",VLOOKUP(D141,Sheet1!$A$4:$H$18,5,FALSE),IF(H140="UBIII",VLOOKUP(D141,Sheet1!$A$4:$H$18,8,FALSE),IF(H140="",VLOOKUP(D141,Sheet1!$A$4:$H$18,2,FALSE),"0")))</f>
        <v>1768</v>
      </c>
      <c r="W141" s="201">
        <f t="shared" si="243"/>
        <v>0</v>
      </c>
      <c r="X141" s="208">
        <f t="shared" si="244"/>
        <v>3640</v>
      </c>
      <c r="Y141" s="171" t="str">
        <f t="shared" si="245"/>
        <v>SUCCESS</v>
      </c>
      <c r="Z141" s="171" t="str">
        <f t="shared" si="246"/>
        <v>SUCCESS</v>
      </c>
      <c r="AA141" s="185">
        <f t="shared" si="208"/>
        <v>145.90312514340778</v>
      </c>
    </row>
    <row r="142" spans="1:27">
      <c r="A142" s="112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504</v>
      </c>
      <c r="B142" s="113">
        <f t="shared" si="240"/>
        <v>51374</v>
      </c>
      <c r="C142" s="118">
        <f t="shared" si="238"/>
        <v>351.51600000000013</v>
      </c>
      <c r="D142" s="181" t="s">
        <v>6</v>
      </c>
      <c r="E142" s="182">
        <f>IF(H141="AFIII",VLOOKUP($D142,Sheet1!$A$34:$K$48,5,FALSE),IF(H141="UBIII",VLOOKUP($D142,Sheet1!$A$34:$K$48,8,FALSE),VLOOKUP($D142,Sheet1!$A$34:$K$48,2,FALSE)))</f>
        <v>2.86</v>
      </c>
      <c r="F142" s="182">
        <f>ROUNDDOWN((IF(H141="AFIII",VLOOKUP($D142,Sheet1!$A$34:$K$48,5,FALSE),IF(H141="UBIII",VLOOKUP($D142,Sheet1!$A$34:$K$48,8,FALSE),VLOOKUP($D142,Sheet1!$A$34:$K$48,2,FALSE))))*0.85,2)</f>
        <v>2.4300000000000002</v>
      </c>
      <c r="G142" s="182">
        <f>IF(M141="迅速",IF(S141="黒魔紋",$F$1,$E$1),IF(S141="黒魔紋",IF(F142&lt;$F$1,$F$1,F142),IF(E142&lt;$E$1,$E$1,E142)))</f>
        <v>2.86</v>
      </c>
      <c r="H142" s="183" t="s">
        <v>84</v>
      </c>
      <c r="I142" s="182">
        <f t="shared" si="248"/>
        <v>4.2800000000000011</v>
      </c>
      <c r="K142" s="182">
        <f t="shared" ref="K142:K144" si="250">K141-G142</f>
        <v>8.7800000000000011</v>
      </c>
      <c r="L142" s="182">
        <f t="shared" si="237"/>
        <v>49.45</v>
      </c>
      <c r="O142" s="182">
        <f t="shared" si="249"/>
        <v>9.4200000000000017</v>
      </c>
      <c r="Q142" s="182">
        <f t="shared" si="242"/>
        <v>1.9200000000000013</v>
      </c>
      <c r="R142" s="182">
        <f t="shared" si="239"/>
        <v>25.17</v>
      </c>
      <c r="U142" s="184">
        <f t="shared" si="226"/>
        <v>3.2239999999999465</v>
      </c>
      <c r="V142" s="201">
        <f>IF(H141="AFIII",VLOOKUP(D142,Sheet1!$A$4:$H$18,5,FALSE),IF(H141="UBIII",VLOOKUP(D142,Sheet1!$A$4:$H$18,8,FALSE),IF(H141="",VLOOKUP(D142,Sheet1!$A$4:$H$18,2,FALSE),"0")))</f>
        <v>1768</v>
      </c>
      <c r="W142" s="201">
        <f t="shared" si="243"/>
        <v>0</v>
      </c>
      <c r="X142" s="208">
        <f t="shared" si="244"/>
        <v>1872</v>
      </c>
      <c r="Y142" s="171" t="str">
        <f t="shared" si="245"/>
        <v>SUCCESS</v>
      </c>
      <c r="Z142" s="171" t="str">
        <f t="shared" si="246"/>
        <v>SUCCESS</v>
      </c>
      <c r="AA142" s="185">
        <f t="shared" si="208"/>
        <v>146.14981963836632</v>
      </c>
    </row>
    <row r="143" spans="1:27">
      <c r="A143" s="112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168</v>
      </c>
      <c r="B143" s="113">
        <f t="shared" si="240"/>
        <v>51542</v>
      </c>
      <c r="C143" s="118">
        <f t="shared" si="238"/>
        <v>353.90600000000012</v>
      </c>
      <c r="D143" s="181" t="s">
        <v>12</v>
      </c>
      <c r="E143" s="182">
        <f>IF(H142="AFIII",VLOOKUP($D143,Sheet1!$A$34:$K$48,5,FALSE),IF(H142="UBIII",VLOOKUP($D143,Sheet1!$A$34:$K$48,8,FALSE),VLOOKUP($D143,Sheet1!$A$34:$K$48,2,FALSE)))</f>
        <v>1.67</v>
      </c>
      <c r="F143" s="182">
        <f>ROUNDDOWN((IF(H142="AFIII",VLOOKUP($D143,Sheet1!$A$34:$K$48,5,FALSE),IF(H142="UBIII",VLOOKUP($D143,Sheet1!$A$34:$K$48,8,FALSE),VLOOKUP($D143,Sheet1!$A$34:$K$48,2,FALSE))))*0.85,2)</f>
        <v>1.41</v>
      </c>
      <c r="G143" s="182">
        <f t="shared" ref="G143:G161" si="251">IF(M142="迅速",IF(S142="黒魔紋",$F$1,$E$1),IF(S142="黒魔紋",IF(F143&lt;$F$1,$F$1,F143),IF(E143&lt;$E$1,$E$1,E143)))</f>
        <v>2.39</v>
      </c>
      <c r="H143" s="183" t="s">
        <v>122</v>
      </c>
      <c r="I143" s="182">
        <v>10</v>
      </c>
      <c r="K143" s="182">
        <f t="shared" si="250"/>
        <v>6.3900000000000006</v>
      </c>
      <c r="L143" s="182">
        <f t="shared" si="237"/>
        <v>47.06</v>
      </c>
      <c r="O143" s="182">
        <f t="shared" si="249"/>
        <v>7.0300000000000011</v>
      </c>
      <c r="Q143" s="182">
        <f t="shared" si="242"/>
        <v>-0.46999999999999886</v>
      </c>
      <c r="R143" s="182">
        <f t="shared" si="239"/>
        <v>22.78</v>
      </c>
      <c r="U143" s="184">
        <f t="shared" si="226"/>
        <v>0.83399999999994634</v>
      </c>
      <c r="V143" s="201">
        <f>IF(H142="AFIII",VLOOKUP(D143,Sheet1!$A$4:$H$18,5,FALSE),IF(H142="UBIII",VLOOKUP(D143,Sheet1!$A$4:$H$18,8,FALSE),IF(H142="",VLOOKUP(D143,Sheet1!$A$4:$H$18,2,FALSE),"0")))</f>
        <v>265</v>
      </c>
      <c r="W143" s="201">
        <f t="shared" si="243"/>
        <v>0</v>
      </c>
      <c r="X143" s="208">
        <f t="shared" si="244"/>
        <v>1607</v>
      </c>
      <c r="Y143" s="171" t="str">
        <f t="shared" si="245"/>
        <v>SUCCESS</v>
      </c>
      <c r="Z143" s="171" t="str">
        <f t="shared" si="246"/>
        <v>SUCCESS</v>
      </c>
      <c r="AA143" s="185">
        <f t="shared" si="208"/>
        <v>145.63754217221518</v>
      </c>
    </row>
    <row r="144" spans="1:27">
      <c r="A144" s="11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295</v>
      </c>
      <c r="B144" s="113">
        <f t="shared" si="240"/>
        <v>51837</v>
      </c>
      <c r="C144" s="118">
        <f t="shared" si="238"/>
        <v>356.76600000000013</v>
      </c>
      <c r="D144" s="181" t="s">
        <v>19</v>
      </c>
      <c r="E144" s="182">
        <f>IF(H143="AFIII",VLOOKUP($D144,Sheet1!$A$34:$K$48,5,FALSE),IF(H143="UBIII",VLOOKUP($D144,Sheet1!$A$34:$K$48,8,FALSE),VLOOKUP($D144,Sheet1!$A$34:$K$48,2,FALSE)))</f>
        <v>2.86</v>
      </c>
      <c r="F144" s="182">
        <f>ROUNDDOWN((IF(H143="AFIII",VLOOKUP($D144,Sheet1!$A$34:$K$48,5,FALSE),IF(H143="UBIII",VLOOKUP($D144,Sheet1!$A$34:$K$48,8,FALSE),VLOOKUP($D144,Sheet1!$A$34:$K$48,2,FALSE))))*0.85,2)</f>
        <v>2.4300000000000002</v>
      </c>
      <c r="G144" s="182">
        <f t="shared" si="251"/>
        <v>2.86</v>
      </c>
      <c r="H144" s="183" t="s">
        <v>122</v>
      </c>
      <c r="I144" s="182">
        <f t="shared" ref="I144:I145" si="252">I143-G144</f>
        <v>7.1400000000000006</v>
      </c>
      <c r="K144" s="182">
        <f t="shared" si="250"/>
        <v>3.5300000000000007</v>
      </c>
      <c r="L144" s="182">
        <f t="shared" si="237"/>
        <v>44.2</v>
      </c>
      <c r="O144" s="182">
        <f t="shared" si="249"/>
        <v>4.1700000000000017</v>
      </c>
      <c r="P144" s="183" t="s">
        <v>17</v>
      </c>
      <c r="Q144" s="182">
        <v>21</v>
      </c>
      <c r="R144" s="182">
        <f t="shared" si="239"/>
        <v>19.920000000000002</v>
      </c>
      <c r="U144" s="184">
        <f t="shared" si="226"/>
        <v>-2.0260000000000535</v>
      </c>
      <c r="V144" s="201">
        <f>IF(H143="AFIII",VLOOKUP(D144,Sheet1!$A$4:$H$18,5,FALSE),IF(H143="UBIII",VLOOKUP(D144,Sheet1!$A$4:$H$18,8,FALSE),IF(H143="",VLOOKUP(D144,Sheet1!$A$4:$H$18,2,FALSE),"0")))</f>
        <v>1060</v>
      </c>
      <c r="W144" s="201">
        <f t="shared" si="243"/>
        <v>7033</v>
      </c>
      <c r="X144" s="208">
        <f t="shared" si="244"/>
        <v>7580</v>
      </c>
      <c r="Y144" s="171" t="str">
        <f t="shared" si="245"/>
        <v>SUCCESS</v>
      </c>
      <c r="Z144" s="171" t="str">
        <f t="shared" si="246"/>
        <v>SUCCESS</v>
      </c>
      <c r="AA144" s="185">
        <f t="shared" si="208"/>
        <v>145.29691730714245</v>
      </c>
    </row>
    <row r="145" spans="1:27">
      <c r="A145" s="119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280</v>
      </c>
      <c r="B145" s="120">
        <f t="shared" si="240"/>
        <v>52117</v>
      </c>
      <c r="C145" s="121">
        <f t="shared" si="238"/>
        <v>359.62600000000015</v>
      </c>
      <c r="D145" s="191" t="s">
        <v>14</v>
      </c>
      <c r="E145" s="192">
        <f>IF(H144="AFIII",VLOOKUP($D145,Sheet1!$A$34:$K$48,5,FALSE),IF(H144="UBIII",VLOOKUP($D145,Sheet1!$A$34:$K$48,8,FALSE),VLOOKUP($D145,Sheet1!$A$34:$K$48,2,FALSE)))</f>
        <v>2.86</v>
      </c>
      <c r="F145" s="192">
        <f>ROUNDDOWN((IF(H144="AFIII",VLOOKUP($D145,Sheet1!$A$34:$K$48,5,FALSE),IF(H144="UBIII",VLOOKUP($D145,Sheet1!$A$34:$K$48,8,FALSE),VLOOKUP($D145,Sheet1!$A$34:$K$48,2,FALSE))))*0.85,2)</f>
        <v>2.4300000000000002</v>
      </c>
      <c r="G145" s="192">
        <f t="shared" si="251"/>
        <v>2.86</v>
      </c>
      <c r="H145" s="193" t="s">
        <v>122</v>
      </c>
      <c r="I145" s="192">
        <f t="shared" si="252"/>
        <v>4.2800000000000011</v>
      </c>
      <c r="J145" s="193"/>
      <c r="K145" s="192">
        <v>20</v>
      </c>
      <c r="L145" s="192">
        <f t="shared" si="237"/>
        <v>41.34</v>
      </c>
      <c r="M145" s="193"/>
      <c r="N145" s="192"/>
      <c r="O145" s="192">
        <f t="shared" si="249"/>
        <v>1.3100000000000018</v>
      </c>
      <c r="P145" s="193"/>
      <c r="Q145" s="192">
        <f t="shared" ref="Q145:Q154" si="253">Q144-G145</f>
        <v>18.14</v>
      </c>
      <c r="R145" s="192">
        <f t="shared" si="239"/>
        <v>17.060000000000002</v>
      </c>
      <c r="S145" s="193"/>
      <c r="T145" s="192"/>
      <c r="U145" s="194">
        <f t="shared" si="226"/>
        <v>-4.8860000000000534</v>
      </c>
      <c r="V145" s="211">
        <f>IF(H144="AFIII",VLOOKUP(D145,Sheet1!$A$4:$H$18,5,FALSE),IF(H144="UBIII",VLOOKUP(D145,Sheet1!$A$4:$H$18,8,FALSE),IF(H144="",VLOOKUP(D145,Sheet1!$A$4:$H$18,2,FALSE),"0")))</f>
        <v>884</v>
      </c>
      <c r="W145" s="211">
        <f t="shared" si="243"/>
        <v>7033</v>
      </c>
      <c r="X145" s="212">
        <f t="shared" si="244"/>
        <v>10622</v>
      </c>
      <c r="Y145" s="195" t="str">
        <f t="shared" si="245"/>
        <v>SUCCESS</v>
      </c>
      <c r="Z145" s="195" t="str">
        <f t="shared" si="246"/>
        <v>SUCCESS</v>
      </c>
      <c r="AA145" s="185">
        <f t="shared" si="208"/>
        <v>144.92000022245327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168</v>
      </c>
      <c r="B146" s="113">
        <f t="shared" si="240"/>
        <v>52285</v>
      </c>
      <c r="C146" s="118">
        <f t="shared" si="238"/>
        <v>362.01600000000013</v>
      </c>
      <c r="D146" s="181" t="s">
        <v>4</v>
      </c>
      <c r="E146" s="182">
        <f>IF(H145="AFIII",VLOOKUP($D146,Sheet1!$A$34:$K$48,5,FALSE),IF(H145="UBIII",VLOOKUP($D146,Sheet1!$A$34:$K$48,8,FALSE),VLOOKUP($D146,Sheet1!$A$34:$K$48,2,FALSE)))</f>
        <v>1.67</v>
      </c>
      <c r="F146" s="182">
        <f>ROUNDDOWN((IF(H145="AFIII",VLOOKUP($D146,Sheet1!$A$34:$K$48,5,FALSE),IF(H145="UBIII",VLOOKUP($D146,Sheet1!$A$34:$K$48,8,FALSE),VLOOKUP($D146,Sheet1!$A$34:$K$48,2,FALSE))))*0.85,2)</f>
        <v>1.41</v>
      </c>
      <c r="G146" s="182">
        <f t="shared" si="251"/>
        <v>2.39</v>
      </c>
      <c r="H146" s="183" t="s">
        <v>84</v>
      </c>
      <c r="I146" s="182">
        <v>10</v>
      </c>
      <c r="K146" s="182">
        <f t="shared" ref="K146:K152" si="254">K145-G146</f>
        <v>17.61</v>
      </c>
      <c r="L146" s="182">
        <f t="shared" si="237"/>
        <v>38.950000000000003</v>
      </c>
      <c r="M146" s="183" t="s">
        <v>135</v>
      </c>
      <c r="O146" s="182">
        <f t="shared" si="249"/>
        <v>-1.0799999999999983</v>
      </c>
      <c r="Q146" s="182">
        <f t="shared" si="253"/>
        <v>15.75</v>
      </c>
      <c r="R146" s="182">
        <f t="shared" si="239"/>
        <v>14.670000000000002</v>
      </c>
      <c r="S146" s="183" t="s">
        <v>217</v>
      </c>
      <c r="T146" s="182">
        <v>30</v>
      </c>
      <c r="U146" s="184">
        <v>90</v>
      </c>
      <c r="V146" s="201">
        <f>IF(H145="AFIII",VLOOKUP(D146,Sheet1!$A$4:$H$18,5,FALSE),IF(H145="UBIII",VLOOKUP(D146,Sheet1!$A$4:$H$18,8,FALSE),IF(H145="",VLOOKUP(D146,Sheet1!$A$4:$H$18,2,FALSE),"0")))</f>
        <v>442</v>
      </c>
      <c r="W146" s="201">
        <f t="shared" si="243"/>
        <v>7033</v>
      </c>
      <c r="X146" s="208">
        <f t="shared" si="244"/>
        <v>11064</v>
      </c>
      <c r="Y146" s="171" t="str">
        <f t="shared" si="245"/>
        <v>SUCCESS</v>
      </c>
      <c r="Z146" s="171" t="str">
        <f t="shared" si="246"/>
        <v>SUCCESS</v>
      </c>
      <c r="AA146" s="185">
        <f t="shared" si="208"/>
        <v>144.42731812958539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504</v>
      </c>
      <c r="B147" s="113">
        <f t="shared" si="240"/>
        <v>52789</v>
      </c>
      <c r="C147" s="118">
        <f t="shared" si="238"/>
        <v>364.44600000000014</v>
      </c>
      <c r="D147" s="181" t="s">
        <v>6</v>
      </c>
      <c r="E147" s="182">
        <f>IF(H146="AFIII",VLOOKUP($D147,Sheet1!$A$34:$K$48,5,FALSE),IF(H146="UBIII",VLOOKUP($D147,Sheet1!$A$34:$K$48,8,FALSE),VLOOKUP($D147,Sheet1!$A$34:$K$48,2,FALSE)))</f>
        <v>2.86</v>
      </c>
      <c r="F147" s="182">
        <f>ROUNDDOWN((IF(H146="AFIII",VLOOKUP($D147,Sheet1!$A$34:$K$48,5,FALSE),IF(H146="UBIII",VLOOKUP($D147,Sheet1!$A$34:$K$48,8,FALSE),VLOOKUP($D147,Sheet1!$A$34:$K$48,2,FALSE))))*0.85,2)</f>
        <v>2.4300000000000002</v>
      </c>
      <c r="G147" s="182">
        <f t="shared" si="251"/>
        <v>2.4300000000000002</v>
      </c>
      <c r="H147" s="183" t="s">
        <v>84</v>
      </c>
      <c r="I147" s="182">
        <f t="shared" ref="I147:I148" si="255">I146-G147</f>
        <v>7.57</v>
      </c>
      <c r="K147" s="182">
        <f t="shared" si="254"/>
        <v>15.18</v>
      </c>
      <c r="L147" s="182">
        <f t="shared" si="237"/>
        <v>36.520000000000003</v>
      </c>
      <c r="O147" s="182">
        <f t="shared" si="249"/>
        <v>-3.5099999999999985</v>
      </c>
      <c r="Q147" s="182">
        <f t="shared" si="253"/>
        <v>13.32</v>
      </c>
      <c r="R147" s="182">
        <f t="shared" si="239"/>
        <v>12.240000000000002</v>
      </c>
      <c r="S147" s="183" t="s">
        <v>217</v>
      </c>
      <c r="T147" s="182">
        <f t="shared" ref="T147:T159" si="256">T146-G147</f>
        <v>27.57</v>
      </c>
      <c r="U147" s="184">
        <f t="shared" ref="U147:U161" si="257">U146-G147</f>
        <v>87.57</v>
      </c>
      <c r="V147" s="201">
        <f>IF(H146="AFIII",VLOOKUP(D147,Sheet1!$A$4:$H$18,5,FALSE),IF(H146="UBIII",VLOOKUP(D147,Sheet1!$A$4:$H$18,8,FALSE),IF(H146="",VLOOKUP(D147,Sheet1!$A$4:$H$18,2,FALSE),"0")))</f>
        <v>1768</v>
      </c>
      <c r="W147" s="201">
        <f t="shared" si="243"/>
        <v>0</v>
      </c>
      <c r="X147" s="208">
        <f t="shared" si="244"/>
        <v>9296</v>
      </c>
      <c r="Y147" s="171" t="str">
        <f t="shared" si="245"/>
        <v>SUCCESS</v>
      </c>
      <c r="Z147" s="171" t="str">
        <f t="shared" si="246"/>
        <v>SUCCESS</v>
      </c>
      <c r="AA147" s="185">
        <f t="shared" ref="AA147:AA160" si="258">B147/C147</f>
        <v>144.8472476032114</v>
      </c>
    </row>
    <row r="148" spans="1:27">
      <c r="A148" s="112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504</v>
      </c>
      <c r="B148" s="113">
        <f t="shared" si="240"/>
        <v>53293</v>
      </c>
      <c r="C148" s="118">
        <f t="shared" si="238"/>
        <v>366.87600000000015</v>
      </c>
      <c r="D148" s="181" t="s">
        <v>6</v>
      </c>
      <c r="E148" s="182">
        <f>IF(H147="AFIII",VLOOKUP($D148,Sheet1!$A$34:$K$48,5,FALSE),IF(H147="UBIII",VLOOKUP($D148,Sheet1!$A$34:$K$48,8,FALSE),VLOOKUP($D148,Sheet1!$A$34:$K$48,2,FALSE)))</f>
        <v>2.86</v>
      </c>
      <c r="F148" s="182">
        <f>ROUNDDOWN((IF(H147="AFIII",VLOOKUP($D148,Sheet1!$A$34:$K$48,5,FALSE),IF(H147="UBIII",VLOOKUP($D148,Sheet1!$A$34:$K$48,8,FALSE),VLOOKUP($D148,Sheet1!$A$34:$K$48,2,FALSE))))*0.85,2)</f>
        <v>2.4300000000000002</v>
      </c>
      <c r="G148" s="182">
        <f t="shared" si="251"/>
        <v>2.4300000000000002</v>
      </c>
      <c r="H148" s="183" t="s">
        <v>84</v>
      </c>
      <c r="I148" s="182">
        <f t="shared" si="255"/>
        <v>5.1400000000000006</v>
      </c>
      <c r="K148" s="182">
        <f t="shared" si="254"/>
        <v>12.75</v>
      </c>
      <c r="L148" s="182">
        <f t="shared" si="237"/>
        <v>34.090000000000003</v>
      </c>
      <c r="Q148" s="182">
        <f t="shared" si="253"/>
        <v>10.89</v>
      </c>
      <c r="R148" s="182">
        <f t="shared" si="239"/>
        <v>9.8100000000000023</v>
      </c>
      <c r="S148" s="183" t="s">
        <v>217</v>
      </c>
      <c r="T148" s="182">
        <f t="shared" si="256"/>
        <v>25.14</v>
      </c>
      <c r="U148" s="184">
        <f t="shared" si="257"/>
        <v>85.139999999999986</v>
      </c>
      <c r="V148" s="201">
        <f>IF(H147="AFIII",VLOOKUP(D148,Sheet1!$A$4:$H$18,5,FALSE),IF(H147="UBIII",VLOOKUP(D148,Sheet1!$A$4:$H$18,8,FALSE),IF(H147="",VLOOKUP(D148,Sheet1!$A$4:$H$18,2,FALSE),"0")))</f>
        <v>1768</v>
      </c>
      <c r="W148" s="201">
        <f t="shared" si="243"/>
        <v>0</v>
      </c>
      <c r="X148" s="208">
        <f t="shared" si="244"/>
        <v>7528</v>
      </c>
      <c r="Y148" s="171" t="str">
        <f t="shared" si="245"/>
        <v>SUCCESS</v>
      </c>
      <c r="Z148" s="171" t="str">
        <f t="shared" si="246"/>
        <v>SUCCESS</v>
      </c>
      <c r="AA148" s="185">
        <f t="shared" si="258"/>
        <v>145.26161427839372</v>
      </c>
    </row>
    <row r="149" spans="1:27">
      <c r="A149" s="112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324</v>
      </c>
      <c r="B149" s="113">
        <f t="shared" si="240"/>
        <v>53617</v>
      </c>
      <c r="C149" s="118">
        <f t="shared" si="238"/>
        <v>368.90600000000012</v>
      </c>
      <c r="D149" s="181" t="s">
        <v>1</v>
      </c>
      <c r="E149" s="182">
        <f>IF(H148="AFIII",VLOOKUP($D149,Sheet1!$A$34:$K$48,5,FALSE),IF(H148="UBIII",VLOOKUP($D149,Sheet1!$A$34:$K$48,8,FALSE),VLOOKUP($D149,Sheet1!$A$34:$K$48,2,FALSE)))</f>
        <v>2.39</v>
      </c>
      <c r="F149" s="182">
        <f>ROUNDDOWN((IF(H148="AFIII",VLOOKUP($D149,Sheet1!$A$34:$K$48,5,FALSE),IF(H148="UBIII",VLOOKUP($D149,Sheet1!$A$34:$K$48,8,FALSE),VLOOKUP($D149,Sheet1!$A$34:$K$48,2,FALSE))))*0.85,2)</f>
        <v>2.0299999999999998</v>
      </c>
      <c r="G149" s="182">
        <f t="shared" si="251"/>
        <v>2.0299999999999998</v>
      </c>
      <c r="H149" s="183" t="s">
        <v>84</v>
      </c>
      <c r="I149" s="182">
        <v>10</v>
      </c>
      <c r="K149" s="182">
        <f t="shared" si="254"/>
        <v>10.72</v>
      </c>
      <c r="L149" s="182">
        <f t="shared" si="237"/>
        <v>32.06</v>
      </c>
      <c r="Q149" s="182">
        <f t="shared" si="253"/>
        <v>8.8600000000000012</v>
      </c>
      <c r="R149" s="182">
        <f t="shared" si="239"/>
        <v>7.7800000000000029</v>
      </c>
      <c r="S149" s="183" t="s">
        <v>217</v>
      </c>
      <c r="T149" s="182">
        <f t="shared" si="256"/>
        <v>23.11</v>
      </c>
      <c r="U149" s="184">
        <f t="shared" si="257"/>
        <v>83.109999999999985</v>
      </c>
      <c r="V149" s="201">
        <f>IF(H148="AFIII",VLOOKUP(D149,Sheet1!$A$4:$H$18,5,FALSE),IF(H148="UBIII",VLOOKUP(D149,Sheet1!$A$4:$H$18,8,FALSE),IF(H148="",VLOOKUP(D149,Sheet1!$A$4:$H$18,2,FALSE),"0")))</f>
        <v>2120</v>
      </c>
      <c r="W149" s="201">
        <f t="shared" si="243"/>
        <v>0</v>
      </c>
      <c r="X149" s="208">
        <f t="shared" si="244"/>
        <v>5408</v>
      </c>
      <c r="Y149" s="171" t="str">
        <f t="shared" si="245"/>
        <v>SUCCESS</v>
      </c>
      <c r="Z149" s="171" t="str">
        <f t="shared" si="246"/>
        <v>SUCCESS</v>
      </c>
      <c r="AA149" s="185">
        <f t="shared" si="258"/>
        <v>145.34054745653359</v>
      </c>
    </row>
    <row r="150" spans="1:27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504</v>
      </c>
      <c r="B150" s="113">
        <f t="shared" si="240"/>
        <v>54121</v>
      </c>
      <c r="C150" s="118">
        <f t="shared" si="238"/>
        <v>371.33600000000013</v>
      </c>
      <c r="D150" s="181" t="s">
        <v>6</v>
      </c>
      <c r="E150" s="182">
        <f>IF(H149="AFIII",VLOOKUP($D150,Sheet1!$A$34:$K$48,5,FALSE),IF(H149="UBIII",VLOOKUP($D150,Sheet1!$A$34:$K$48,8,FALSE),VLOOKUP($D150,Sheet1!$A$34:$K$48,2,FALSE)))</f>
        <v>2.86</v>
      </c>
      <c r="F150" s="182">
        <f>ROUNDDOWN((IF(H149="AFIII",VLOOKUP($D150,Sheet1!$A$34:$K$48,5,FALSE),IF(H149="UBIII",VLOOKUP($D150,Sheet1!$A$34:$K$48,8,FALSE),VLOOKUP($D150,Sheet1!$A$34:$K$48,2,FALSE))))*0.85,2)</f>
        <v>2.4300000000000002</v>
      </c>
      <c r="G150" s="182">
        <f t="shared" si="251"/>
        <v>2.4300000000000002</v>
      </c>
      <c r="H150" s="183" t="s">
        <v>84</v>
      </c>
      <c r="I150" s="182">
        <f t="shared" ref="I150:I151" si="259">I149-G150</f>
        <v>7.57</v>
      </c>
      <c r="K150" s="182">
        <f t="shared" si="254"/>
        <v>8.2900000000000009</v>
      </c>
      <c r="L150" s="182">
        <f t="shared" si="237"/>
        <v>29.630000000000003</v>
      </c>
      <c r="Q150" s="182">
        <f t="shared" si="253"/>
        <v>6.4300000000000015</v>
      </c>
      <c r="R150" s="182">
        <f>R149-G150</f>
        <v>5.3500000000000032</v>
      </c>
      <c r="S150" s="183" t="s">
        <v>217</v>
      </c>
      <c r="T150" s="182">
        <f t="shared" si="256"/>
        <v>20.68</v>
      </c>
      <c r="U150" s="184">
        <f t="shared" si="257"/>
        <v>80.679999999999978</v>
      </c>
      <c r="V150" s="201">
        <f>IF(H149="AFIII",VLOOKUP(D150,Sheet1!$A$4:$H$18,5,FALSE),IF(H149="UBIII",VLOOKUP(D150,Sheet1!$A$4:$H$18,8,FALSE),IF(H149="",VLOOKUP(D150,Sheet1!$A$4:$H$18,2,FALSE),"0")))</f>
        <v>1768</v>
      </c>
      <c r="W150" s="201">
        <f t="shared" si="243"/>
        <v>0</v>
      </c>
      <c r="X150" s="208">
        <f t="shared" si="244"/>
        <v>3640</v>
      </c>
      <c r="Y150" s="171" t="str">
        <f t="shared" si="245"/>
        <v>SUCCESS</v>
      </c>
      <c r="Z150" s="171" t="str">
        <f t="shared" si="246"/>
        <v>SUCCESS</v>
      </c>
      <c r="AA150" s="185">
        <f t="shared" si="258"/>
        <v>145.7467091798263</v>
      </c>
    </row>
    <row r="151" spans="1:27">
      <c r="A151" s="112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504</v>
      </c>
      <c r="B151" s="113">
        <f t="shared" si="240"/>
        <v>54625</v>
      </c>
      <c r="C151" s="118">
        <f t="shared" si="238"/>
        <v>373.76600000000013</v>
      </c>
      <c r="D151" s="181" t="s">
        <v>6</v>
      </c>
      <c r="E151" s="182">
        <f>IF(H150="AFIII",VLOOKUP($D151,Sheet1!$A$34:$K$48,5,FALSE),IF(H150="UBIII",VLOOKUP($D151,Sheet1!$A$34:$K$48,8,FALSE),VLOOKUP($D151,Sheet1!$A$34:$K$48,2,FALSE)))</f>
        <v>2.86</v>
      </c>
      <c r="F151" s="182">
        <f>ROUNDDOWN((IF(H150="AFIII",VLOOKUP($D151,Sheet1!$A$34:$K$48,5,FALSE),IF(H150="UBIII",VLOOKUP($D151,Sheet1!$A$34:$K$48,8,FALSE),VLOOKUP($D151,Sheet1!$A$34:$K$48,2,FALSE))))*0.85,2)</f>
        <v>2.4300000000000002</v>
      </c>
      <c r="G151" s="182">
        <f t="shared" si="251"/>
        <v>2.4300000000000002</v>
      </c>
      <c r="H151" s="183" t="s">
        <v>84</v>
      </c>
      <c r="I151" s="182">
        <f t="shared" si="259"/>
        <v>5.1400000000000006</v>
      </c>
      <c r="K151" s="182">
        <f t="shared" si="254"/>
        <v>5.8600000000000012</v>
      </c>
      <c r="L151" s="182">
        <f t="shared" si="237"/>
        <v>27.200000000000003</v>
      </c>
      <c r="Q151" s="182">
        <f t="shared" si="253"/>
        <v>4.0000000000000018</v>
      </c>
      <c r="R151" s="182">
        <f t="shared" ref="R151:R153" si="260">R150-G151</f>
        <v>2.920000000000003</v>
      </c>
      <c r="S151" s="183" t="s">
        <v>217</v>
      </c>
      <c r="T151" s="182">
        <f t="shared" si="256"/>
        <v>18.25</v>
      </c>
      <c r="U151" s="184">
        <f t="shared" si="257"/>
        <v>78.249999999999972</v>
      </c>
      <c r="V151" s="201">
        <f>IF(H150="AFIII",VLOOKUP(D151,Sheet1!$A$4:$H$18,5,FALSE),IF(H150="UBIII",VLOOKUP(D151,Sheet1!$A$4:$H$18,8,FALSE),IF(H150="",VLOOKUP(D151,Sheet1!$A$4:$H$18,2,FALSE),"0")))</f>
        <v>1768</v>
      </c>
      <c r="W151" s="201">
        <f t="shared" si="243"/>
        <v>0</v>
      </c>
      <c r="X151" s="208">
        <f t="shared" si="244"/>
        <v>1872</v>
      </c>
      <c r="Y151" s="171" t="str">
        <f t="shared" si="245"/>
        <v>SUCCESS</v>
      </c>
      <c r="Z151" s="171" t="str">
        <f t="shared" si="246"/>
        <v>SUCCESS</v>
      </c>
      <c r="AA151" s="185">
        <f t="shared" si="258"/>
        <v>146.14758966840211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168</v>
      </c>
      <c r="B152" s="113">
        <f t="shared" si="240"/>
        <v>54793</v>
      </c>
      <c r="C152" s="118">
        <f t="shared" si="238"/>
        <v>375.79600000000011</v>
      </c>
      <c r="D152" s="181" t="s">
        <v>12</v>
      </c>
      <c r="E152" s="182">
        <f>IF(H151="AFIII",VLOOKUP($D152,Sheet1!$A$34:$K$48,5,FALSE),IF(H151="UBIII",VLOOKUP($D152,Sheet1!$A$34:$K$48,8,FALSE),VLOOKUP($D152,Sheet1!$A$34:$K$48,2,FALSE)))</f>
        <v>1.67</v>
      </c>
      <c r="F152" s="182">
        <f>ROUNDDOWN((IF(H151="AFIII",VLOOKUP($D152,Sheet1!$A$34:$K$48,5,FALSE),IF(H151="UBIII",VLOOKUP($D152,Sheet1!$A$34:$K$48,8,FALSE),VLOOKUP($D152,Sheet1!$A$34:$K$48,2,FALSE))))*0.85,2)</f>
        <v>1.41</v>
      </c>
      <c r="G152" s="182">
        <f t="shared" si="251"/>
        <v>2.0299999999999998</v>
      </c>
      <c r="H152" s="183" t="s">
        <v>122</v>
      </c>
      <c r="I152" s="182">
        <v>10</v>
      </c>
      <c r="K152" s="182">
        <f t="shared" si="254"/>
        <v>3.8300000000000014</v>
      </c>
      <c r="L152" s="182">
        <f t="shared" si="237"/>
        <v>25.17</v>
      </c>
      <c r="P152" s="183" t="s">
        <v>136</v>
      </c>
      <c r="Q152" s="182">
        <f t="shared" si="253"/>
        <v>1.970000000000002</v>
      </c>
      <c r="R152" s="182">
        <f t="shared" si="260"/>
        <v>0.89000000000000323</v>
      </c>
      <c r="S152" s="183" t="s">
        <v>217</v>
      </c>
      <c r="T152" s="182">
        <f t="shared" si="256"/>
        <v>16.22</v>
      </c>
      <c r="U152" s="184">
        <f t="shared" si="257"/>
        <v>76.21999999999997</v>
      </c>
      <c r="V152" s="201">
        <f>IF(H151="AFIII",VLOOKUP(D152,Sheet1!$A$4:$H$18,5,FALSE),IF(H151="UBIII",VLOOKUP(D152,Sheet1!$A$4:$H$18,8,FALSE),IF(H151="",VLOOKUP(D152,Sheet1!$A$4:$H$18,2,FALSE),"0")))</f>
        <v>265</v>
      </c>
      <c r="W152" s="201">
        <f t="shared" si="243"/>
        <v>0</v>
      </c>
      <c r="X152" s="208">
        <f t="shared" si="244"/>
        <v>1607</v>
      </c>
      <c r="Y152" s="171" t="str">
        <f t="shared" si="245"/>
        <v>SUCCESS</v>
      </c>
      <c r="Z152" s="171" t="str">
        <f t="shared" si="246"/>
        <v>SUCCESS</v>
      </c>
      <c r="AA152" s="185">
        <f t="shared" si="258"/>
        <v>145.80517089058952</v>
      </c>
    </row>
    <row r="153" spans="1:27">
      <c r="A153" s="119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280</v>
      </c>
      <c r="B153" s="120">
        <f t="shared" si="240"/>
        <v>55073</v>
      </c>
      <c r="C153" s="121">
        <f t="shared" si="238"/>
        <v>378.22600000000011</v>
      </c>
      <c r="D153" s="191" t="s">
        <v>14</v>
      </c>
      <c r="E153" s="192">
        <f>IF(H152="AFIII",VLOOKUP($D153,Sheet1!$A$34:$K$48,5,FALSE),IF(H152="UBIII",VLOOKUP($D153,Sheet1!$A$34:$K$48,8,FALSE),VLOOKUP($D153,Sheet1!$A$34:$K$48,2,FALSE)))</f>
        <v>2.86</v>
      </c>
      <c r="F153" s="192">
        <f>ROUNDDOWN((IF(H152="AFIII",VLOOKUP($D153,Sheet1!$A$34:$K$48,5,FALSE),IF(H152="UBIII",VLOOKUP($D153,Sheet1!$A$34:$K$48,8,FALSE),VLOOKUP($D153,Sheet1!$A$34:$K$48,2,FALSE))))*0.85,2)</f>
        <v>2.4300000000000002</v>
      </c>
      <c r="G153" s="192">
        <f t="shared" si="251"/>
        <v>2.4300000000000002</v>
      </c>
      <c r="H153" s="193" t="s">
        <v>122</v>
      </c>
      <c r="I153" s="192">
        <f t="shared" ref="I153" si="261">I152-G153</f>
        <v>7.57</v>
      </c>
      <c r="J153" s="193"/>
      <c r="K153" s="192">
        <v>15</v>
      </c>
      <c r="L153" s="192">
        <f t="shared" si="237"/>
        <v>22.740000000000002</v>
      </c>
      <c r="M153" s="193"/>
      <c r="N153" s="192"/>
      <c r="O153" s="192"/>
      <c r="P153" s="193"/>
      <c r="Q153" s="192">
        <f t="shared" si="253"/>
        <v>-0.45999999999999819</v>
      </c>
      <c r="R153" s="192">
        <f t="shared" si="260"/>
        <v>-1.5399999999999969</v>
      </c>
      <c r="S153" s="193" t="s">
        <v>217</v>
      </c>
      <c r="T153" s="192">
        <f t="shared" si="256"/>
        <v>13.79</v>
      </c>
      <c r="U153" s="194">
        <f t="shared" si="257"/>
        <v>73.789999999999964</v>
      </c>
      <c r="V153" s="211">
        <f>IF(H152="AFIII",VLOOKUP(D153,Sheet1!$A$4:$H$18,5,FALSE),IF(H152="UBIII",VLOOKUP(D153,Sheet1!$A$4:$H$18,8,FALSE),IF(H152="",VLOOKUP(D153,Sheet1!$A$4:$H$18,2,FALSE),"0")))</f>
        <v>884</v>
      </c>
      <c r="W153" s="211">
        <f t="shared" si="243"/>
        <v>7033</v>
      </c>
      <c r="X153" s="212">
        <f t="shared" si="244"/>
        <v>7756</v>
      </c>
      <c r="Y153" s="195" t="str">
        <f t="shared" si="245"/>
        <v>SUCCESS</v>
      </c>
      <c r="Z153" s="195" t="str">
        <f t="shared" si="246"/>
        <v>SUCCESS</v>
      </c>
      <c r="AA153" s="185">
        <f t="shared" si="258"/>
        <v>145.60871013626769</v>
      </c>
    </row>
    <row r="154" spans="1:27">
      <c r="A154" s="112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168</v>
      </c>
      <c r="B154" s="113">
        <f t="shared" si="240"/>
        <v>55241</v>
      </c>
      <c r="C154" s="118">
        <f t="shared" si="238"/>
        <v>380.25600000000009</v>
      </c>
      <c r="D154" s="181" t="s">
        <v>4</v>
      </c>
      <c r="E154" s="182">
        <f>IF(H153="AFIII",VLOOKUP($D154,Sheet1!$A$34:$K$48,5,FALSE),IF(H153="UBIII",VLOOKUP($D154,Sheet1!$A$34:$K$48,8,FALSE),VLOOKUP($D154,Sheet1!$A$34:$K$48,2,FALSE)))</f>
        <v>1.67</v>
      </c>
      <c r="F154" s="182">
        <f>ROUNDDOWN((IF(H153="AFIII",VLOOKUP($D154,Sheet1!$A$34:$K$48,5,FALSE),IF(H153="UBIII",VLOOKUP($D154,Sheet1!$A$34:$K$48,8,FALSE),VLOOKUP($D154,Sheet1!$A$34:$K$48,2,FALSE))))*0.85,2)</f>
        <v>1.41</v>
      </c>
      <c r="G154" s="182">
        <f t="shared" si="251"/>
        <v>2.0299999999999998</v>
      </c>
      <c r="H154" s="183" t="s">
        <v>84</v>
      </c>
      <c r="I154" s="182">
        <v>10</v>
      </c>
      <c r="K154" s="182">
        <f t="shared" ref="K154:K160" si="262">K153-G154</f>
        <v>12.97</v>
      </c>
      <c r="L154" s="182">
        <f t="shared" si="237"/>
        <v>20.71</v>
      </c>
      <c r="Q154" s="182">
        <f t="shared" si="253"/>
        <v>-2.489999999999998</v>
      </c>
      <c r="S154" s="183" t="s">
        <v>217</v>
      </c>
      <c r="T154" s="182">
        <f t="shared" si="256"/>
        <v>11.76</v>
      </c>
      <c r="U154" s="184">
        <f t="shared" si="257"/>
        <v>71.759999999999962</v>
      </c>
      <c r="V154" s="201">
        <f>IF(H153="AFIII",VLOOKUP(D154,Sheet1!$A$4:$H$18,5,FALSE),IF(H153="UBIII",VLOOKUP(D154,Sheet1!$A$4:$H$18,8,FALSE),IF(H153="",VLOOKUP(D154,Sheet1!$A$4:$H$18,2,FALSE),"0")))</f>
        <v>442</v>
      </c>
      <c r="W154" s="201">
        <f t="shared" si="243"/>
        <v>7033</v>
      </c>
      <c r="X154" s="208">
        <f t="shared" si="244"/>
        <v>11064</v>
      </c>
      <c r="Y154" s="171" t="str">
        <f t="shared" si="245"/>
        <v>SUCCESS</v>
      </c>
      <c r="Z154" s="171" t="str">
        <f t="shared" si="246"/>
        <v>SUCCESS</v>
      </c>
      <c r="AA154" s="185">
        <f t="shared" si="258"/>
        <v>145.27318438104854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504</v>
      </c>
      <c r="B155" s="113">
        <f t="shared" si="240"/>
        <v>55745</v>
      </c>
      <c r="C155" s="118">
        <f t="shared" si="238"/>
        <v>382.68600000000009</v>
      </c>
      <c r="D155" s="181" t="s">
        <v>6</v>
      </c>
      <c r="E155" s="182">
        <f>IF(H154="AFIII",VLOOKUP($D155,Sheet1!$A$34:$K$48,5,FALSE),IF(H154="UBIII",VLOOKUP($D155,Sheet1!$A$34:$K$48,8,FALSE),VLOOKUP($D155,Sheet1!$A$34:$K$48,2,FALSE)))</f>
        <v>2.86</v>
      </c>
      <c r="F155" s="182">
        <f>ROUNDDOWN((IF(H154="AFIII",VLOOKUP($D155,Sheet1!$A$34:$K$48,5,FALSE),IF(H154="UBIII",VLOOKUP($D155,Sheet1!$A$34:$K$48,8,FALSE),VLOOKUP($D155,Sheet1!$A$34:$K$48,2,FALSE))))*0.85,2)</f>
        <v>2.4300000000000002</v>
      </c>
      <c r="G155" s="182">
        <f t="shared" si="251"/>
        <v>2.4300000000000002</v>
      </c>
      <c r="H155" s="183" t="s">
        <v>84</v>
      </c>
      <c r="I155" s="182">
        <f t="shared" ref="I155:I156" si="263">I154-G155</f>
        <v>7.57</v>
      </c>
      <c r="K155" s="182">
        <f t="shared" si="262"/>
        <v>10.540000000000001</v>
      </c>
      <c r="L155" s="182">
        <f t="shared" si="237"/>
        <v>18.28</v>
      </c>
      <c r="S155" s="183" t="s">
        <v>217</v>
      </c>
      <c r="T155" s="182">
        <f t="shared" si="256"/>
        <v>9.33</v>
      </c>
      <c r="U155" s="184">
        <f t="shared" si="257"/>
        <v>69.329999999999956</v>
      </c>
      <c r="V155" s="201">
        <f>IF(H154="AFIII",VLOOKUP(D155,Sheet1!$A$4:$H$18,5,FALSE),IF(H154="UBIII",VLOOKUP(D155,Sheet1!$A$4:$H$18,8,FALSE),IF(H154="",VLOOKUP(D155,Sheet1!$A$4:$H$18,2,FALSE),"0")))</f>
        <v>1768</v>
      </c>
      <c r="W155" s="201">
        <f t="shared" si="243"/>
        <v>0</v>
      </c>
      <c r="X155" s="208">
        <f t="shared" si="244"/>
        <v>9296</v>
      </c>
      <c r="Y155" s="171" t="str">
        <f t="shared" si="245"/>
        <v>SUCCESS</v>
      </c>
      <c r="Z155" s="171" t="str">
        <f t="shared" si="246"/>
        <v>SUCCESS</v>
      </c>
      <c r="AA155" s="185">
        <f t="shared" si="258"/>
        <v>145.6677275886758</v>
      </c>
    </row>
    <row r="156" spans="1:27">
      <c r="A156" s="112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504</v>
      </c>
      <c r="B156" s="113">
        <f t="shared" si="240"/>
        <v>56249</v>
      </c>
      <c r="C156" s="118">
        <f t="shared" si="238"/>
        <v>385.1160000000001</v>
      </c>
      <c r="D156" s="181" t="s">
        <v>6</v>
      </c>
      <c r="E156" s="182">
        <f>IF(H155="AFIII",VLOOKUP($D156,Sheet1!$A$34:$K$48,5,FALSE),IF(H155="UBIII",VLOOKUP($D156,Sheet1!$A$34:$K$48,8,FALSE),VLOOKUP($D156,Sheet1!$A$34:$K$48,2,FALSE)))</f>
        <v>2.86</v>
      </c>
      <c r="F156" s="182">
        <f>ROUNDDOWN((IF(H155="AFIII",VLOOKUP($D156,Sheet1!$A$34:$K$48,5,FALSE),IF(H155="UBIII",VLOOKUP($D156,Sheet1!$A$34:$K$48,8,FALSE),VLOOKUP($D156,Sheet1!$A$34:$K$48,2,FALSE))))*0.85,2)</f>
        <v>2.4300000000000002</v>
      </c>
      <c r="G156" s="182">
        <f t="shared" si="251"/>
        <v>2.4300000000000002</v>
      </c>
      <c r="H156" s="183" t="s">
        <v>84</v>
      </c>
      <c r="I156" s="182">
        <f t="shared" si="263"/>
        <v>5.1400000000000006</v>
      </c>
      <c r="K156" s="182">
        <f t="shared" si="262"/>
        <v>8.1100000000000012</v>
      </c>
      <c r="L156" s="182">
        <f t="shared" si="237"/>
        <v>15.850000000000001</v>
      </c>
      <c r="S156" s="183" t="s">
        <v>217</v>
      </c>
      <c r="T156" s="182">
        <f t="shared" si="256"/>
        <v>6.9</v>
      </c>
      <c r="U156" s="184">
        <f t="shared" si="257"/>
        <v>66.899999999999949</v>
      </c>
      <c r="V156" s="201">
        <f>IF(H155="AFIII",VLOOKUP(D156,Sheet1!$A$4:$H$18,5,FALSE),IF(H155="UBIII",VLOOKUP(D156,Sheet1!$A$4:$H$18,8,FALSE),IF(H155="",VLOOKUP(D156,Sheet1!$A$4:$H$18,2,FALSE),"0")))</f>
        <v>1768</v>
      </c>
      <c r="W156" s="201">
        <f t="shared" si="243"/>
        <v>0</v>
      </c>
      <c r="X156" s="208">
        <f t="shared" si="244"/>
        <v>7528</v>
      </c>
      <c r="Y156" s="171" t="str">
        <f t="shared" si="245"/>
        <v>SUCCESS</v>
      </c>
      <c r="Z156" s="171" t="str">
        <f t="shared" si="246"/>
        <v>SUCCESS</v>
      </c>
      <c r="AA156" s="185">
        <f t="shared" si="258"/>
        <v>146.05729182895539</v>
      </c>
    </row>
    <row r="157" spans="1:27">
      <c r="A157" s="112">
        <f>ROUNDDOWN(IF(N156-G157&gt;0,(IF(H156="AFIII",VLOOKUP(D157,Sheet1!$K$4:$S$19,5,FALSE),IF(H156="UBIII",VLOOKUP(D157,Sheet1!$K$4:$S$19,8,FALSE),VLOOKUP(D157,Sheet1!$K$4:$S$19,2,FALSE)))*1.2),IF(H156="AFIII",VLOOKUP(D157,Sheet1!$K$4:$S$19,5,FALSE),IF(H156="UBIII",VLOOKUP(D157,Sheet1!$K$4:$S$19,8,FALSE),VLOOKUP(D157,Sheet1!$K$4:$S$19,2,FALSE)))),0)</f>
        <v>496</v>
      </c>
      <c r="B157" s="113">
        <f t="shared" si="240"/>
        <v>56745</v>
      </c>
      <c r="C157" s="118">
        <f t="shared" si="238"/>
        <v>387.95600000000007</v>
      </c>
      <c r="D157" s="181" t="s">
        <v>128</v>
      </c>
      <c r="E157" s="182">
        <f>IF(H156="AFIII",VLOOKUP($D157,Sheet1!$A$34:$K$48,5,FALSE),IF(H156="UBIII",VLOOKUP($D157,Sheet1!$A$34:$K$48,8,FALSE),VLOOKUP($D157,Sheet1!$A$34:$K$48,2,FALSE)))</f>
        <v>3.3460000000000001</v>
      </c>
      <c r="F157" s="182">
        <f>ROUNDDOWN((IF(H156="AFIII",VLOOKUP($D157,Sheet1!$A$34:$K$48,5,FALSE),IF(H156="UBIII",VLOOKUP($D157,Sheet1!$A$34:$K$48,8,FALSE),VLOOKUP($D157,Sheet1!$A$34:$K$48,2,FALSE))))*0.85,2)</f>
        <v>2.84</v>
      </c>
      <c r="G157" s="182">
        <f t="shared" si="251"/>
        <v>2.84</v>
      </c>
      <c r="H157" s="183" t="s">
        <v>84</v>
      </c>
      <c r="I157" s="182">
        <v>10</v>
      </c>
      <c r="K157" s="182">
        <f t="shared" si="262"/>
        <v>5.2700000000000014</v>
      </c>
      <c r="L157" s="182">
        <f t="shared" si="237"/>
        <v>13.010000000000002</v>
      </c>
      <c r="S157" s="183" t="s">
        <v>217</v>
      </c>
      <c r="T157" s="182">
        <f t="shared" si="256"/>
        <v>4.0600000000000005</v>
      </c>
      <c r="U157" s="184">
        <f t="shared" si="257"/>
        <v>64.059999999999945</v>
      </c>
      <c r="V157" s="201">
        <f>IF(H156="AFIII",VLOOKUP(D157,Sheet1!$A$4:$H$18,5,FALSE),IF(H156="UBIII",VLOOKUP(D157,Sheet1!$A$4:$H$18,8,FALSE),IF(H156="",VLOOKUP(D157,Sheet1!$A$4:$H$18,2,FALSE),"0")))</f>
        <v>2120</v>
      </c>
      <c r="W157" s="201">
        <f t="shared" si="243"/>
        <v>0</v>
      </c>
      <c r="X157" s="208">
        <f t="shared" si="244"/>
        <v>5408</v>
      </c>
      <c r="Y157" s="171" t="str">
        <f t="shared" si="245"/>
        <v>SUCCESS</v>
      </c>
      <c r="Z157" s="171" t="str">
        <f t="shared" si="246"/>
        <v>SUCCESS</v>
      </c>
      <c r="AA157" s="185">
        <f t="shared" si="258"/>
        <v>146.2665869325387</v>
      </c>
    </row>
    <row r="158" spans="1:27">
      <c r="A158" s="112">
        <f>ROUNDDOWN(IF(N157-G158&gt;0,(IF(H157="AFIII",VLOOKUP(D158,Sheet1!$K$4:$S$19,5,FALSE),IF(H157="UBIII",VLOOKUP(D158,Sheet1!$K$4:$S$19,8,FALSE),VLOOKUP(D158,Sheet1!$K$4:$S$19,2,FALSE)))*1.2),IF(H157="AFIII",VLOOKUP(D158,Sheet1!$K$4:$S$19,5,FALSE),IF(H157="UBIII",VLOOKUP(D158,Sheet1!$K$4:$S$19,8,FALSE),VLOOKUP(D158,Sheet1!$K$4:$S$19,2,FALSE)))),0)</f>
        <v>504</v>
      </c>
      <c r="B158" s="113">
        <f t="shared" si="240"/>
        <v>57249</v>
      </c>
      <c r="C158" s="118">
        <f t="shared" si="238"/>
        <v>390.38600000000008</v>
      </c>
      <c r="D158" s="181" t="s">
        <v>6</v>
      </c>
      <c r="E158" s="182">
        <f>IF(H157="AFIII",VLOOKUP($D158,Sheet1!$A$34:$K$48,5,FALSE),IF(H157="UBIII",VLOOKUP($D158,Sheet1!$A$34:$K$48,8,FALSE),VLOOKUP($D158,Sheet1!$A$34:$K$48,2,FALSE)))</f>
        <v>2.86</v>
      </c>
      <c r="F158" s="182">
        <f>ROUNDDOWN((IF(H157="AFIII",VLOOKUP($D158,Sheet1!$A$34:$K$48,5,FALSE),IF(H157="UBIII",VLOOKUP($D158,Sheet1!$A$34:$K$48,8,FALSE),VLOOKUP($D158,Sheet1!$A$34:$K$48,2,FALSE))))*0.85,2)</f>
        <v>2.4300000000000002</v>
      </c>
      <c r="G158" s="182">
        <f t="shared" si="251"/>
        <v>2.4300000000000002</v>
      </c>
      <c r="H158" s="183" t="s">
        <v>84</v>
      </c>
      <c r="I158" s="182">
        <f t="shared" ref="I158" si="264">I157-G158</f>
        <v>7.57</v>
      </c>
      <c r="K158" s="182">
        <f t="shared" si="262"/>
        <v>2.8400000000000012</v>
      </c>
      <c r="L158" s="182">
        <f t="shared" si="237"/>
        <v>10.580000000000002</v>
      </c>
      <c r="S158" s="183" t="s">
        <v>217</v>
      </c>
      <c r="T158" s="182">
        <f t="shared" si="256"/>
        <v>1.6300000000000003</v>
      </c>
      <c r="U158" s="184">
        <f t="shared" si="257"/>
        <v>61.629999999999946</v>
      </c>
      <c r="V158" s="201">
        <f>IF(H157="AFIII",VLOOKUP(D158,Sheet1!$A$4:$H$18,5,FALSE),IF(H157="UBIII",VLOOKUP(D158,Sheet1!$A$4:$H$18,8,FALSE),IF(H157="",VLOOKUP(D158,Sheet1!$A$4:$H$18,2,FALSE),"0")))</f>
        <v>1768</v>
      </c>
      <c r="W158" s="201">
        <f t="shared" si="243"/>
        <v>0</v>
      </c>
      <c r="X158" s="208">
        <f t="shared" si="244"/>
        <v>3640</v>
      </c>
      <c r="Y158" s="171" t="str">
        <f t="shared" si="245"/>
        <v>SUCCESS</v>
      </c>
      <c r="Z158" s="171" t="str">
        <f t="shared" si="246"/>
        <v>SUCCESS</v>
      </c>
      <c r="AA158" s="185">
        <f t="shared" si="258"/>
        <v>146.64716460118956</v>
      </c>
    </row>
    <row r="159" spans="1:27">
      <c r="A159" s="112">
        <f>ROUNDDOWN(IF(N158-G159&gt;0,(IF(H158="AFIII",VLOOKUP(D159,Sheet1!$K$4:$S$19,5,FALSE),IF(H158="UBIII",VLOOKUP(D159,Sheet1!$K$4:$S$19,8,FALSE),VLOOKUP(D159,Sheet1!$K$4:$S$19,2,FALSE)))*1.2),IF(H158="AFIII",VLOOKUP(D159,Sheet1!$K$4:$S$19,5,FALSE),IF(H158="UBIII",VLOOKUP(D159,Sheet1!$K$4:$S$19,8,FALSE),VLOOKUP(D159,Sheet1!$K$4:$S$19,2,FALSE)))),0)</f>
        <v>504</v>
      </c>
      <c r="B159" s="113">
        <f t="shared" si="240"/>
        <v>57753</v>
      </c>
      <c r="C159" s="118">
        <f t="shared" si="238"/>
        <v>392.81600000000009</v>
      </c>
      <c r="D159" s="181" t="s">
        <v>6</v>
      </c>
      <c r="E159" s="182">
        <f>IF(H158="AFIII",VLOOKUP($D159,Sheet1!$A$34:$K$48,5,FALSE),IF(H158="UBIII",VLOOKUP($D159,Sheet1!$A$34:$K$48,8,FALSE),VLOOKUP($D159,Sheet1!$A$34:$K$48,2,FALSE)))</f>
        <v>2.86</v>
      </c>
      <c r="F159" s="182">
        <f>ROUNDDOWN((IF(H158="AFIII",VLOOKUP($D159,Sheet1!$A$34:$K$48,5,FALSE),IF(H158="UBIII",VLOOKUP($D159,Sheet1!$A$34:$K$48,8,FALSE),VLOOKUP($D159,Sheet1!$A$34:$K$48,2,FALSE))))*0.85,2)</f>
        <v>2.4300000000000002</v>
      </c>
      <c r="G159" s="182">
        <f t="shared" si="251"/>
        <v>2.4300000000000002</v>
      </c>
      <c r="H159" s="183" t="s">
        <v>84</v>
      </c>
      <c r="I159" s="182">
        <v>10</v>
      </c>
      <c r="K159" s="182">
        <f t="shared" si="262"/>
        <v>0.41000000000000103</v>
      </c>
      <c r="L159" s="182">
        <f t="shared" si="237"/>
        <v>8.1500000000000021</v>
      </c>
      <c r="T159" s="182">
        <f t="shared" si="256"/>
        <v>-0.79999999999999982</v>
      </c>
      <c r="U159" s="184">
        <f t="shared" si="257"/>
        <v>59.199999999999946</v>
      </c>
      <c r="V159" s="201">
        <f>IF(H158="AFIII",VLOOKUP(D159,Sheet1!$A$4:$H$18,5,FALSE),IF(H158="UBIII",VLOOKUP(D159,Sheet1!$A$4:$H$18,8,FALSE),IF(H158="",VLOOKUP(D159,Sheet1!$A$4:$H$18,2,FALSE),"0")))</f>
        <v>1768</v>
      </c>
      <c r="W159" s="201">
        <f t="shared" si="243"/>
        <v>0</v>
      </c>
      <c r="X159" s="208">
        <f t="shared" si="244"/>
        <v>1872</v>
      </c>
      <c r="Y159" s="171" t="str">
        <f t="shared" si="245"/>
        <v>SUCCESS</v>
      </c>
      <c r="Z159" s="171" t="str">
        <f t="shared" si="246"/>
        <v>SUCCESS</v>
      </c>
      <c r="AA159" s="185">
        <f t="shared" si="258"/>
        <v>147.02303368498224</v>
      </c>
    </row>
    <row r="160" spans="1:27">
      <c r="A160" s="112">
        <f>ROUNDDOWN(IF(N159-G160&gt;0,(IF(H159="AFIII",VLOOKUP(D160,Sheet1!$K$4:$S$19,5,FALSE),IF(H159="UBIII",VLOOKUP(D160,Sheet1!$K$4:$S$19,8,FALSE),VLOOKUP(D160,Sheet1!$K$4:$S$19,2,FALSE)))*1.2),IF(H159="AFIII",VLOOKUP(D160,Sheet1!$K$4:$S$19,5,FALSE),IF(H159="UBIII",VLOOKUP(D160,Sheet1!$K$4:$S$19,8,FALSE),VLOOKUP(D160,Sheet1!$K$4:$S$19,2,FALSE)))),0)</f>
        <v>168</v>
      </c>
      <c r="B160" s="113">
        <f t="shared" si="240"/>
        <v>57921</v>
      </c>
      <c r="C160" s="118">
        <f t="shared" si="238"/>
        <v>395.20600000000007</v>
      </c>
      <c r="D160" s="181" t="s">
        <v>12</v>
      </c>
      <c r="E160" s="182">
        <f>IF(H159="AFIII",VLOOKUP($D160,Sheet1!$A$34:$K$48,5,FALSE),IF(H159="UBIII",VLOOKUP($D160,Sheet1!$A$34:$K$48,8,FALSE),VLOOKUP($D160,Sheet1!$A$34:$K$48,2,FALSE)))</f>
        <v>1.67</v>
      </c>
      <c r="F160" s="182">
        <f>ROUNDDOWN((IF(H159="AFIII",VLOOKUP($D160,Sheet1!$A$34:$K$48,5,FALSE),IF(H159="UBIII",VLOOKUP($D160,Sheet1!$A$34:$K$48,8,FALSE),VLOOKUP($D160,Sheet1!$A$34:$K$48,2,FALSE))))*0.85,2)</f>
        <v>1.41</v>
      </c>
      <c r="G160" s="182">
        <f t="shared" si="251"/>
        <v>2.39</v>
      </c>
      <c r="H160" s="183" t="s">
        <v>122</v>
      </c>
      <c r="I160" s="182">
        <v>10</v>
      </c>
      <c r="K160" s="182">
        <f t="shared" si="262"/>
        <v>-1.9799999999999991</v>
      </c>
      <c r="L160" s="182">
        <f t="shared" si="237"/>
        <v>5.7600000000000016</v>
      </c>
      <c r="U160" s="184">
        <f t="shared" si="257"/>
        <v>56.809999999999945</v>
      </c>
      <c r="V160" s="201">
        <f>IF(H159="AFIII",VLOOKUP(D160,Sheet1!$A$4:$H$18,5,FALSE),IF(H159="UBIII",VLOOKUP(D160,Sheet1!$A$4:$H$18,8,FALSE),IF(H159="",VLOOKUP(D160,Sheet1!$A$4:$H$18,2,FALSE),"0")))</f>
        <v>265</v>
      </c>
      <c r="W160" s="201">
        <f t="shared" si="243"/>
        <v>0</v>
      </c>
      <c r="X160" s="208">
        <f t="shared" si="244"/>
        <v>1607</v>
      </c>
      <c r="Y160" s="171" t="str">
        <f t="shared" si="245"/>
        <v>SUCCESS</v>
      </c>
      <c r="Z160" s="171" t="str">
        <f t="shared" si="246"/>
        <v>ERROR</v>
      </c>
      <c r="AA160" s="185">
        <f t="shared" si="258"/>
        <v>146.55900973163361</v>
      </c>
    </row>
    <row r="161" spans="1:27" ht="12.75" thickBot="1">
      <c r="A161" s="116">
        <f>ROUNDDOWN(IF(N160-G161&gt;0,(IF(H160="AFIII",VLOOKUP(D161,Sheet1!$K$4:$S$19,5,FALSE),IF(H160="UBIII",VLOOKUP(D161,Sheet1!$K$4:$S$19,8,FALSE),VLOOKUP(D161,Sheet1!$K$4:$S$19,2,FALSE)))*1.2),IF(H160="AFIII",VLOOKUP(D161,Sheet1!$K$4:$S$19,5,FALSE),IF(H160="UBIII",VLOOKUP(D161,Sheet1!$K$4:$S$19,8,FALSE),VLOOKUP(D161,Sheet1!$K$4:$S$19,2,FALSE)))),0)</f>
        <v>295</v>
      </c>
      <c r="B161" s="117">
        <f t="shared" si="240"/>
        <v>58216</v>
      </c>
      <c r="C161" s="125">
        <f t="shared" si="238"/>
        <v>398.06600000000009</v>
      </c>
      <c r="D161" s="196" t="s">
        <v>19</v>
      </c>
      <c r="E161" s="197">
        <f>IF(H160="AFIII",VLOOKUP($D161,Sheet1!$A$34:$K$48,5,FALSE),IF(H160="UBIII",VLOOKUP($D161,Sheet1!$A$34:$K$48,8,FALSE),VLOOKUP($D161,Sheet1!$A$34:$K$48,2,FALSE)))</f>
        <v>2.86</v>
      </c>
      <c r="F161" s="197">
        <f>ROUNDDOWN((IF(H160="AFIII",VLOOKUP($D161,Sheet1!$A$34:$K$48,5,FALSE),IF(H160="UBIII",VLOOKUP($D161,Sheet1!$A$34:$K$48,8,FALSE),VLOOKUP($D161,Sheet1!$A$34:$K$48,2,FALSE))))*0.85,2)</f>
        <v>2.4300000000000002</v>
      </c>
      <c r="G161" s="197">
        <f t="shared" si="251"/>
        <v>2.86</v>
      </c>
      <c r="H161" s="198" t="s">
        <v>122</v>
      </c>
      <c r="I161" s="197">
        <f>I160-G161</f>
        <v>7.1400000000000006</v>
      </c>
      <c r="J161" s="198"/>
      <c r="K161" s="197"/>
      <c r="L161" s="197">
        <f t="shared" si="237"/>
        <v>2.9000000000000017</v>
      </c>
      <c r="M161" s="198"/>
      <c r="N161" s="197"/>
      <c r="O161" s="197"/>
      <c r="P161" s="198" t="s">
        <v>17</v>
      </c>
      <c r="Q161" s="197">
        <v>21</v>
      </c>
      <c r="R161" s="197"/>
      <c r="S161" s="198"/>
      <c r="T161" s="197"/>
      <c r="U161" s="199">
        <f t="shared" si="257"/>
        <v>53.949999999999946</v>
      </c>
      <c r="V161" s="206">
        <f>IF(H160="AFIII",VLOOKUP(D161,Sheet1!$A$4:$H$18,5,FALSE),IF(H160="UBIII",VLOOKUP(D161,Sheet1!$A$4:$H$18,8,FALSE),IF(H160="",VLOOKUP(D161,Sheet1!$A$4:$H$18,2,FALSE),"0")))</f>
        <v>1060</v>
      </c>
      <c r="W161" s="206">
        <f t="shared" si="243"/>
        <v>7033</v>
      </c>
      <c r="X161" s="207">
        <f t="shared" si="244"/>
        <v>7580</v>
      </c>
      <c r="Y161" s="180" t="str">
        <f t="shared" si="245"/>
        <v>SUCCESS</v>
      </c>
      <c r="Z161" s="180" t="str">
        <f t="shared" si="246"/>
        <v>ERROR</v>
      </c>
      <c r="AA161" s="185">
        <f>B161/C161</f>
        <v>146.24710475147333</v>
      </c>
    </row>
    <row r="162" spans="1:27" ht="12.75" thickTop="1">
      <c r="D162" s="58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X162" s="216"/>
    </row>
    <row r="163" spans="1:27">
      <c r="D163" s="58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X163" s="216"/>
    </row>
    <row r="164" spans="1:27">
      <c r="D164" s="58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X164" s="216"/>
    </row>
    <row r="165" spans="1:27">
      <c r="D165" s="58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X165" s="216"/>
    </row>
    <row r="166" spans="1:27">
      <c r="D166" s="58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X166" s="216"/>
    </row>
    <row r="167" spans="1:27">
      <c r="D167" s="58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X167" s="216"/>
    </row>
    <row r="168" spans="1:27">
      <c r="D168" s="58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X168" s="216"/>
    </row>
    <row r="169" spans="1:27">
      <c r="D169" s="58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X169" s="216"/>
    </row>
    <row r="170" spans="1:27">
      <c r="D170" s="58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X170" s="216"/>
    </row>
    <row r="171" spans="1:27">
      <c r="D171" s="58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X171" s="216"/>
    </row>
    <row r="172" spans="1:27">
      <c r="D172" s="58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X172" s="216"/>
    </row>
    <row r="173" spans="1:27">
      <c r="D173" s="58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X173" s="216"/>
    </row>
    <row r="174" spans="1:27">
      <c r="D174" s="58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X174" s="216"/>
    </row>
    <row r="175" spans="1:27">
      <c r="D175" s="58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X175" s="216"/>
    </row>
    <row r="176" spans="1:27">
      <c r="D176" s="58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X176" s="216"/>
    </row>
    <row r="177" spans="4:24">
      <c r="D177" s="58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X177" s="216"/>
    </row>
    <row r="178" spans="4:24">
      <c r="D178" s="58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X178" s="216"/>
    </row>
    <row r="179" spans="4:24">
      <c r="D179" s="58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X179" s="216"/>
    </row>
    <row r="180" spans="4:24">
      <c r="D180" s="58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X180" s="216"/>
    </row>
    <row r="181" spans="4:24">
      <c r="D181" s="58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X181" s="216"/>
    </row>
    <row r="182" spans="4:24">
      <c r="D182" s="58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X182" s="216"/>
    </row>
    <row r="183" spans="4:24">
      <c r="D183" s="5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X183" s="216"/>
    </row>
    <row r="184" spans="4:24">
      <c r="D184" s="5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X184" s="216"/>
    </row>
    <row r="185" spans="4:24">
      <c r="D185" s="5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X185" s="216"/>
    </row>
    <row r="186" spans="4:24">
      <c r="D186" s="5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X186" s="216"/>
    </row>
    <row r="187" spans="4:24">
      <c r="D187" s="58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X187" s="216"/>
    </row>
    <row r="188" spans="4:24">
      <c r="D188" s="58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X188" s="216"/>
    </row>
    <row r="189" spans="4:24">
      <c r="D189" s="58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X189" s="216"/>
    </row>
    <row r="190" spans="4:24">
      <c r="D190" s="58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X190" s="216"/>
    </row>
    <row r="191" spans="4:24">
      <c r="D191" s="58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X191" s="216"/>
    </row>
    <row r="192" spans="4:24">
      <c r="D192" s="58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X192" s="216"/>
    </row>
    <row r="193" spans="4:24">
      <c r="D193" s="58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X193" s="216"/>
    </row>
    <row r="194" spans="4:24">
      <c r="D194" s="58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X194" s="216"/>
    </row>
    <row r="195" spans="4:24">
      <c r="D195" s="58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X195" s="216"/>
    </row>
    <row r="196" spans="4:24">
      <c r="D196" s="58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X196" s="216"/>
    </row>
    <row r="197" spans="4:24">
      <c r="D197" s="58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X197" s="216"/>
    </row>
    <row r="198" spans="4:24">
      <c r="D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X198" s="216"/>
    </row>
    <row r="199" spans="4:24">
      <c r="D199" s="5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X199" s="216"/>
    </row>
    <row r="200" spans="4:24">
      <c r="D200" s="5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X200" s="216"/>
    </row>
    <row r="201" spans="4:24">
      <c r="D201" s="5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X201" s="216"/>
    </row>
    <row r="202" spans="4:24">
      <c r="D202" s="58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X202" s="216"/>
    </row>
    <row r="203" spans="4:24">
      <c r="D203" s="58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X203" s="216"/>
    </row>
    <row r="204" spans="4:24">
      <c r="D204" s="58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X204" s="216"/>
    </row>
    <row r="205" spans="4:24">
      <c r="D205" s="58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X205" s="216"/>
    </row>
    <row r="206" spans="4:24">
      <c r="D206" s="58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X206" s="216"/>
    </row>
    <row r="207" spans="4:24">
      <c r="D207" s="58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X207" s="216"/>
    </row>
    <row r="208" spans="4:24">
      <c r="D208" s="58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X208" s="216"/>
    </row>
    <row r="209" spans="4:24">
      <c r="D209" s="58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X209" s="216"/>
    </row>
    <row r="210" spans="4:24">
      <c r="D210" s="58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X210" s="216"/>
    </row>
    <row r="211" spans="4:24">
      <c r="D211" s="58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X211" s="216"/>
    </row>
    <row r="212" spans="4:24">
      <c r="D212" s="58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X212" s="216"/>
    </row>
    <row r="213" spans="4:24">
      <c r="D213" s="58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X213" s="216"/>
    </row>
    <row r="214" spans="4:24">
      <c r="D214" s="58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X214" s="216"/>
    </row>
    <row r="215" spans="4:24">
      <c r="D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X215" s="216"/>
    </row>
    <row r="216" spans="4:24">
      <c r="D216" s="58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X216" s="216"/>
    </row>
    <row r="217" spans="4:24">
      <c r="D217" s="58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X217" s="216"/>
    </row>
    <row r="218" spans="4:24">
      <c r="D218" s="58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X218" s="216"/>
    </row>
    <row r="219" spans="4:24">
      <c r="D219" s="58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X219" s="216"/>
    </row>
    <row r="220" spans="4:24">
      <c r="D220" s="58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X220" s="216"/>
    </row>
    <row r="221" spans="4:24">
      <c r="D221" s="58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X221" s="216"/>
    </row>
    <row r="222" spans="4:24">
      <c r="D222" s="58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X222" s="216"/>
    </row>
    <row r="223" spans="4:24">
      <c r="D223" s="58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X223" s="216"/>
    </row>
    <row r="224" spans="4:24">
      <c r="D224" s="58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X224" s="216"/>
    </row>
    <row r="225" spans="4:24">
      <c r="D225" s="58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X225" s="216"/>
    </row>
    <row r="226" spans="4:24">
      <c r="D226" s="58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X226" s="216"/>
    </row>
    <row r="227" spans="4:24">
      <c r="D227" s="58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X227" s="216"/>
    </row>
    <row r="228" spans="4:24">
      <c r="D228" s="58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X228" s="216"/>
    </row>
    <row r="229" spans="4:24">
      <c r="D229" s="58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X229" s="216"/>
    </row>
    <row r="230" spans="4:24">
      <c r="D230" s="58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X230" s="216"/>
    </row>
    <row r="231" spans="4:24">
      <c r="D231" s="58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X231" s="216"/>
    </row>
    <row r="232" spans="4:24">
      <c r="D232" s="58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X232" s="216"/>
    </row>
    <row r="233" spans="4:24">
      <c r="D233" s="58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X233" s="216"/>
    </row>
    <row r="234" spans="4:24">
      <c r="D234" s="58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X234" s="216"/>
    </row>
    <row r="235" spans="4:24">
      <c r="D235" s="58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X235" s="216"/>
    </row>
    <row r="236" spans="4:24">
      <c r="D236" s="58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X236" s="216"/>
    </row>
    <row r="237" spans="4:24">
      <c r="D237" s="58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X237" s="216"/>
    </row>
    <row r="238" spans="4:24">
      <c r="D238" s="58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X238" s="216"/>
    </row>
    <row r="239" spans="4:24">
      <c r="D239" s="58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X239" s="216"/>
    </row>
  </sheetData>
  <mergeCells count="6">
    <mergeCell ref="V2:W2"/>
    <mergeCell ref="K1:L1"/>
    <mergeCell ref="N1:O1"/>
    <mergeCell ref="Q1:R1"/>
    <mergeCell ref="D2:G2"/>
    <mergeCell ref="H2:U2"/>
  </mergeCells>
  <phoneticPr fontId="1"/>
  <conditionalFormatting sqref="P1 D1:G97 H1:J26 H27:P97 Q2:R97 D98:W1048576 X3:X149 K2:P26 S1:W97 D37:X161">
    <cfRule type="expression" dxfId="21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topLeftCell="A130" zoomScaleNormal="100" workbookViewId="0">
      <selection activeCell="K180" sqref="K180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254</v>
      </c>
      <c r="I1" s="225" t="s">
        <v>115</v>
      </c>
      <c r="J1" s="101">
        <f>3</f>
        <v>3</v>
      </c>
      <c r="K1" s="307" t="s">
        <v>144</v>
      </c>
      <c r="L1" s="307"/>
      <c r="M1" s="101">
        <v>0</v>
      </c>
      <c r="N1" s="307" t="s">
        <v>145</v>
      </c>
      <c r="O1" s="307"/>
      <c r="P1" s="102">
        <f>H1+J1+M1</f>
        <v>257</v>
      </c>
      <c r="Q1" s="307" t="s">
        <v>116</v>
      </c>
      <c r="R1" s="307"/>
      <c r="S1" s="101">
        <v>12.5</v>
      </c>
      <c r="T1" s="225" t="s">
        <v>117</v>
      </c>
      <c r="U1" s="104">
        <f>Sheet1!B27</f>
        <v>884</v>
      </c>
      <c r="V1" s="217" t="s">
        <v>118</v>
      </c>
      <c r="W1" s="202">
        <v>242</v>
      </c>
      <c r="X1" s="203">
        <f>ROUNDDOWN(X3*0.3,0)</f>
        <v>3417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227" t="s">
        <v>107</v>
      </c>
      <c r="E3" s="173" t="s">
        <v>108</v>
      </c>
      <c r="F3" s="173" t="s">
        <v>120</v>
      </c>
      <c r="G3" s="173" t="s">
        <v>215</v>
      </c>
      <c r="H3" s="228" t="s">
        <v>107</v>
      </c>
      <c r="I3" s="173" t="s">
        <v>108</v>
      </c>
      <c r="J3" s="228" t="s">
        <v>107</v>
      </c>
      <c r="K3" s="173" t="s">
        <v>108</v>
      </c>
      <c r="L3" s="173" t="s">
        <v>119</v>
      </c>
      <c r="M3" s="228" t="s">
        <v>107</v>
      </c>
      <c r="N3" s="173" t="s">
        <v>108</v>
      </c>
      <c r="O3" s="173" t="s">
        <v>119</v>
      </c>
      <c r="P3" s="228" t="s">
        <v>107</v>
      </c>
      <c r="Q3" s="173" t="s">
        <v>108</v>
      </c>
      <c r="R3" s="173" t="s">
        <v>119</v>
      </c>
      <c r="S3" s="228" t="s">
        <v>107</v>
      </c>
      <c r="T3" s="173" t="s">
        <v>108</v>
      </c>
      <c r="U3" s="175" t="s">
        <v>119</v>
      </c>
      <c r="V3" s="226" t="s">
        <v>110</v>
      </c>
      <c r="W3" s="226" t="s">
        <v>111</v>
      </c>
      <c r="X3" s="205">
        <f>U1*S1+ROUNDDOWN(((P1-W1)/W1/2*U1*S1),0)</f>
        <v>11392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178"/>
      <c r="T4" s="177"/>
      <c r="U4" s="179"/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11392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>B4+A5</f>
        <v>240</v>
      </c>
      <c r="C5" s="118">
        <f t="shared" ref="C5:C17" si="0">C4+G5</f>
        <v>3.34</v>
      </c>
      <c r="D5" s="181" t="s">
        <v>4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3.34</v>
      </c>
      <c r="H5" s="183" t="s">
        <v>84</v>
      </c>
      <c r="I5" s="182">
        <v>10</v>
      </c>
      <c r="V5" s="201">
        <f>IF(H4="AFIII",VLOOKUP(D5,Sheet1!$A$4:$H$18,5,FALSE),IF(H4="UBIII",VLOOKUP(D5,Sheet1!$A$4:$H$18,8,FALSE),IF(H4="",VLOOKUP(D5,Sheet1!$A$4:$H$18,2,FALSE),"0")))</f>
        <v>1768</v>
      </c>
      <c r="W5" s="201">
        <f>IF(H4="UBIII",$X$2,0)</f>
        <v>0</v>
      </c>
      <c r="X5" s="208">
        <f>IF(D5="フレア",IF(M5="コンバート",$X$1,0),IF(X4-V5+W5&gt;$X$3,$X$3-V5,X4-V5+W5))</f>
        <v>9624</v>
      </c>
      <c r="Y5" s="171" t="str">
        <f t="shared" ref="Y5:Y18" si="1">IF(X4-V5&lt;0,"ERROR","SUCCESS")</f>
        <v>SUCCESS</v>
      </c>
      <c r="Z5" s="171" t="str">
        <f t="shared" ref="Z5:Z18" si="2">IF(K4-G5&lt;0,"ERROR","SUCCESS")</f>
        <v>ERROR</v>
      </c>
      <c r="AA5" s="185">
        <f>B5/C5</f>
        <v>71.856287425149702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324</v>
      </c>
      <c r="B6" s="113">
        <f t="shared" ref="B6:B18" si="3">B5+A6</f>
        <v>564</v>
      </c>
      <c r="C6" s="118">
        <f t="shared" si="0"/>
        <v>5.73</v>
      </c>
      <c r="D6" s="181" t="s">
        <v>1</v>
      </c>
      <c r="E6" s="182">
        <f>IF(H5="AFIII",VLOOKUP($D6,Sheet1!$A$34:$K$48,5,FALSE),IF(H5="UBIII",VLOOKUP($D6,Sheet1!$A$34:$K$48,8,FALSE),VLOOKUP($D6,Sheet1!$A$34:$K$48,2,FALSE)))</f>
        <v>2.39</v>
      </c>
      <c r="F6" s="182">
        <f>ROUNDDOWN((IF(H5="AFIII",VLOOKUP($D6,Sheet1!$A$34:$K$48,5,FALSE),IF(H5="UBIII",VLOOKUP($D6,Sheet1!$A$34:$K$48,8,FALSE),VLOOKUP($D6,Sheet1!$A$34:$K$48,2,FALSE))))*0.85,2)</f>
        <v>2.0299999999999998</v>
      </c>
      <c r="G6" s="182">
        <f t="shared" ref="G6:G18" si="4">IF(M5="迅速",IF(S5="黒魔紋",$F$1,$E$1),IF(S5="黒魔紋",IF(F6&lt;$F$1,$F$1,F6),IF(E6&lt;$E$1,$E$1,E6)))</f>
        <v>2.39</v>
      </c>
      <c r="H6" s="183" t="s">
        <v>84</v>
      </c>
      <c r="I6" s="182">
        <v>10</v>
      </c>
      <c r="V6" s="201">
        <f>IF(H5="AFIII",VLOOKUP(D6,Sheet1!$A$4:$H$18,5,FALSE),IF(H5="UBIII",VLOOKUP(D6,Sheet1!$A$4:$H$18,8,FALSE),IF(H5="",VLOOKUP(D6,Sheet1!$A$4:$H$18,2,FALSE),"0")))</f>
        <v>2120</v>
      </c>
      <c r="W6" s="201">
        <f t="shared" ref="W6:W18" si="5">IF(H5="UBIII",$X$2,0)</f>
        <v>0</v>
      </c>
      <c r="X6" s="208">
        <f t="shared" ref="X6:X18" si="6">IF(D6="フレア",IF(M6="コンバート",$X$1,0),IF(X5-V6+W6&gt;$X$3,$X$3-V6,X5-V6+W6))</f>
        <v>7504</v>
      </c>
      <c r="Y6" s="171" t="str">
        <f t="shared" si="1"/>
        <v>SUCCESS</v>
      </c>
      <c r="Z6" s="171" t="str">
        <f t="shared" si="2"/>
        <v>ERROR</v>
      </c>
      <c r="AA6" s="185">
        <f t="shared" ref="AA6:AA18" si="7">B6/C6</f>
        <v>98.429319371727743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324</v>
      </c>
      <c r="B7" s="113">
        <f t="shared" si="3"/>
        <v>888</v>
      </c>
      <c r="C7" s="118">
        <f t="shared" si="0"/>
        <v>8.120000000000001</v>
      </c>
      <c r="D7" s="181" t="s">
        <v>222</v>
      </c>
      <c r="E7" s="182">
        <f>IF(H6="AFIII",VLOOKUP($D7,Sheet1!$A$34:$K$48,5,FALSE),IF(H6="UBIII",VLOOKUP($D7,Sheet1!$A$34:$K$48,8,FALSE),VLOOKUP($D7,Sheet1!$A$34:$K$48,2,FALSE)))</f>
        <v>2.39</v>
      </c>
      <c r="F7" s="182">
        <f>ROUNDDOWN((IF(H6="AFIII",VLOOKUP($D7,Sheet1!$A$34:$K$48,5,FALSE),IF(H6="UBIII",VLOOKUP($D7,Sheet1!$A$34:$K$48,8,FALSE),VLOOKUP($D7,Sheet1!$A$34:$K$48,2,FALSE))))*0.85,2)</f>
        <v>2.0299999999999998</v>
      </c>
      <c r="G7" s="182">
        <f t="shared" si="4"/>
        <v>2.39</v>
      </c>
      <c r="H7" s="183" t="s">
        <v>84</v>
      </c>
      <c r="I7" s="182">
        <v>10</v>
      </c>
      <c r="V7" s="201">
        <f>IF(H6="AFIII",VLOOKUP(D7,Sheet1!$A$4:$H$18,5,FALSE),IF(H6="UBIII",VLOOKUP(D7,Sheet1!$A$4:$H$18,8,FALSE),IF(H6="",VLOOKUP(D7,Sheet1!$A$4:$H$18,2,FALSE),"0")))</f>
        <v>2120</v>
      </c>
      <c r="W7" s="201">
        <f t="shared" si="5"/>
        <v>0</v>
      </c>
      <c r="X7" s="208">
        <f t="shared" si="6"/>
        <v>5384</v>
      </c>
      <c r="Y7" s="171" t="str">
        <f t="shared" si="1"/>
        <v>SUCCESS</v>
      </c>
      <c r="Z7" s="171" t="str">
        <f t="shared" si="2"/>
        <v>ERROR</v>
      </c>
      <c r="AA7" s="185">
        <f t="shared" si="7"/>
        <v>109.35960591133004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324</v>
      </c>
      <c r="B8" s="113">
        <f t="shared" si="3"/>
        <v>1212</v>
      </c>
      <c r="C8" s="118">
        <f t="shared" si="0"/>
        <v>10.510000000000002</v>
      </c>
      <c r="D8" s="181" t="s">
        <v>222</v>
      </c>
      <c r="E8" s="182">
        <f>IF(H7="AFIII",VLOOKUP($D8,Sheet1!$A$34:$K$48,5,FALSE),IF(H7="UBIII",VLOOKUP($D8,Sheet1!$A$34:$K$48,8,FALSE),VLOOKUP($D8,Sheet1!$A$34:$K$48,2,FALSE)))</f>
        <v>2.39</v>
      </c>
      <c r="F8" s="182">
        <f>ROUNDDOWN((IF(H7="AFIII",VLOOKUP($D8,Sheet1!$A$34:$K$48,5,FALSE),IF(H7="UBIII",VLOOKUP($D8,Sheet1!$A$34:$K$48,8,FALSE),VLOOKUP($D8,Sheet1!$A$34:$K$48,2,FALSE))))*0.85,2)</f>
        <v>2.0299999999999998</v>
      </c>
      <c r="G8" s="182">
        <f t="shared" si="4"/>
        <v>2.39</v>
      </c>
      <c r="H8" s="183" t="s">
        <v>84</v>
      </c>
      <c r="I8" s="182">
        <v>10</v>
      </c>
      <c r="V8" s="201">
        <f>IF(H7="AFIII",VLOOKUP(D8,Sheet1!$A$4:$H$18,5,FALSE),IF(H7="UBIII",VLOOKUP(D8,Sheet1!$A$4:$H$18,8,FALSE),IF(H7="",VLOOKUP(D8,Sheet1!$A$4:$H$18,2,FALSE),"0")))</f>
        <v>2120</v>
      </c>
      <c r="W8" s="201">
        <f t="shared" si="5"/>
        <v>0</v>
      </c>
      <c r="X8" s="208">
        <f t="shared" si="6"/>
        <v>3264</v>
      </c>
      <c r="Y8" s="171" t="str">
        <f t="shared" si="1"/>
        <v>SUCCESS</v>
      </c>
      <c r="Z8" s="171" t="str">
        <f t="shared" si="2"/>
        <v>ERROR</v>
      </c>
      <c r="AA8" s="185">
        <f t="shared" si="7"/>
        <v>115.31874405328257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168</v>
      </c>
      <c r="B9" s="113">
        <f t="shared" si="3"/>
        <v>1380</v>
      </c>
      <c r="C9" s="118">
        <f t="shared" si="0"/>
        <v>12.900000000000002</v>
      </c>
      <c r="D9" s="181" t="s">
        <v>12</v>
      </c>
      <c r="E9" s="182">
        <f>IF(H8="AFIII",VLOOKUP($D9,Sheet1!$A$34:$K$48,5,FALSE),IF(H8="UBIII",VLOOKUP($D9,Sheet1!$A$34:$K$48,8,FALSE),VLOOKUP($D9,Sheet1!$A$34:$K$48,2,FALSE)))</f>
        <v>1.67</v>
      </c>
      <c r="F9" s="182">
        <f>ROUNDDOWN((IF(H8="AFIII",VLOOKUP($D9,Sheet1!$A$34:$K$48,5,FALSE),IF(H8="UBIII",VLOOKUP($D9,Sheet1!$A$34:$K$48,8,FALSE),VLOOKUP($D9,Sheet1!$A$34:$K$48,2,FALSE))))*0.85,2)</f>
        <v>1.41</v>
      </c>
      <c r="G9" s="182">
        <f t="shared" si="4"/>
        <v>2.39</v>
      </c>
      <c r="H9" s="183" t="s">
        <v>122</v>
      </c>
      <c r="I9" s="182">
        <v>10</v>
      </c>
      <c r="V9" s="201">
        <f>IF(H8="AFIII",VLOOKUP(D9,Sheet1!$A$4:$H$18,5,FALSE),IF(H8="UBIII",VLOOKUP(D9,Sheet1!$A$4:$H$18,8,FALSE),IF(H8="",VLOOKUP(D9,Sheet1!$A$4:$H$18,2,FALSE),"0")))</f>
        <v>265</v>
      </c>
      <c r="W9" s="201">
        <f t="shared" si="5"/>
        <v>0</v>
      </c>
      <c r="X9" s="208">
        <f t="shared" si="6"/>
        <v>2999</v>
      </c>
      <c r="Y9" s="171" t="str">
        <f t="shared" si="1"/>
        <v>SUCCESS</v>
      </c>
      <c r="Z9" s="171" t="str">
        <f t="shared" si="2"/>
        <v>ERROR</v>
      </c>
      <c r="AA9" s="185">
        <f t="shared" si="7"/>
        <v>106.97674418604649</v>
      </c>
    </row>
    <row r="10" spans="1:27">
      <c r="A10" s="12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295</v>
      </c>
      <c r="B10" s="123">
        <f t="shared" si="3"/>
        <v>1675</v>
      </c>
      <c r="C10" s="124">
        <f t="shared" si="0"/>
        <v>15.760000000000002</v>
      </c>
      <c r="D10" s="186" t="s">
        <v>19</v>
      </c>
      <c r="E10" s="187">
        <f>IF(H9="AFIII",VLOOKUP($D10,Sheet1!$A$34:$K$48,5,FALSE),IF(H9="UBIII",VLOOKUP($D10,Sheet1!$A$34:$K$48,8,FALSE),VLOOKUP($D10,Sheet1!$A$34:$K$48,2,FALSE)))</f>
        <v>2.86</v>
      </c>
      <c r="F10" s="187">
        <f>ROUNDDOWN((IF(H9="AFIII",VLOOKUP($D10,Sheet1!$A$34:$K$48,5,FALSE),IF(H9="UBIII",VLOOKUP($D10,Sheet1!$A$34:$K$48,8,FALSE),VLOOKUP($D10,Sheet1!$A$34:$K$48,2,FALSE))))*0.85,2)</f>
        <v>2.4300000000000002</v>
      </c>
      <c r="G10" s="187">
        <f t="shared" si="4"/>
        <v>2.86</v>
      </c>
      <c r="H10" s="188" t="s">
        <v>122</v>
      </c>
      <c r="I10" s="187">
        <v>10</v>
      </c>
      <c r="J10" s="188"/>
      <c r="K10" s="187"/>
      <c r="L10" s="187"/>
      <c r="M10" s="188"/>
      <c r="N10" s="187"/>
      <c r="O10" s="187"/>
      <c r="P10" s="188" t="s">
        <v>17</v>
      </c>
      <c r="Q10" s="187">
        <v>21</v>
      </c>
      <c r="R10" s="187"/>
      <c r="S10" s="188"/>
      <c r="T10" s="187"/>
      <c r="U10" s="189"/>
      <c r="V10" s="209">
        <f>IF(H9="AFIII",VLOOKUP(D10,Sheet1!$A$4:$H$18,5,FALSE),IF(H9="UBIII",VLOOKUP(D10,Sheet1!$A$4:$H$18,8,FALSE),IF(H9="",VLOOKUP(D10,Sheet1!$A$4:$H$18,2,FALSE),"0")))</f>
        <v>1060</v>
      </c>
      <c r="W10" s="209">
        <f t="shared" si="5"/>
        <v>7033</v>
      </c>
      <c r="X10" s="210">
        <f t="shared" si="6"/>
        <v>8972</v>
      </c>
      <c r="Y10" s="190" t="str">
        <f t="shared" si="1"/>
        <v>SUCCESS</v>
      </c>
      <c r="Z10" s="190" t="str">
        <f t="shared" si="2"/>
        <v>ERROR</v>
      </c>
      <c r="AA10" s="185">
        <f t="shared" si="7"/>
        <v>106.28172588832486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168</v>
      </c>
      <c r="B11" s="113">
        <f t="shared" si="3"/>
        <v>1843</v>
      </c>
      <c r="C11" s="118">
        <f t="shared" si="0"/>
        <v>18.150000000000002</v>
      </c>
      <c r="D11" s="181" t="s">
        <v>4</v>
      </c>
      <c r="E11" s="182">
        <f>IF(H10="AFIII",VLOOKUP($D11,Sheet1!$A$34:$K$48,5,FALSE),IF(H10="UBIII",VLOOKUP($D11,Sheet1!$A$34:$K$48,8,FALSE),VLOOKUP($D11,Sheet1!$A$34:$K$48,2,FALSE)))</f>
        <v>1.67</v>
      </c>
      <c r="F11" s="182">
        <f>ROUNDDOWN((IF(H10="AFIII",VLOOKUP($D11,Sheet1!$A$34:$K$48,5,FALSE),IF(H10="UBIII",VLOOKUP($D11,Sheet1!$A$34:$K$48,8,FALSE),VLOOKUP($D11,Sheet1!$A$34:$K$48,2,FALSE))))*0.85,2)</f>
        <v>1.41</v>
      </c>
      <c r="G11" s="182">
        <f t="shared" si="4"/>
        <v>2.39</v>
      </c>
      <c r="H11" s="183" t="s">
        <v>84</v>
      </c>
      <c r="I11" s="182">
        <v>10</v>
      </c>
      <c r="J11" s="183" t="s">
        <v>105</v>
      </c>
      <c r="K11" s="182">
        <v>30</v>
      </c>
      <c r="L11" s="182">
        <v>90</v>
      </c>
      <c r="M11" s="183" t="s">
        <v>96</v>
      </c>
      <c r="N11" s="182">
        <v>20</v>
      </c>
      <c r="O11" s="182">
        <v>180</v>
      </c>
      <c r="Q11" s="182">
        <f>Q10-G11</f>
        <v>18.61</v>
      </c>
      <c r="V11" s="201">
        <f>IF(H10="AFIII",VLOOKUP(D11,Sheet1!$A$4:$H$18,5,FALSE),IF(H10="UBIII",VLOOKUP(D11,Sheet1!$A$4:$H$18,8,FALSE),IF(H10="",VLOOKUP(D11,Sheet1!$A$4:$H$18,2,FALSE),"0")))</f>
        <v>442</v>
      </c>
      <c r="W11" s="201">
        <f t="shared" si="5"/>
        <v>7033</v>
      </c>
      <c r="X11" s="208">
        <f t="shared" si="6"/>
        <v>10950</v>
      </c>
      <c r="Y11" s="171" t="str">
        <f t="shared" si="1"/>
        <v>SUCCESS</v>
      </c>
      <c r="Z11" s="171" t="str">
        <f t="shared" si="2"/>
        <v>ERROR</v>
      </c>
      <c r="AA11" s="185">
        <f t="shared" si="7"/>
        <v>101.54269972451789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604</v>
      </c>
      <c r="B12" s="113">
        <f t="shared" si="3"/>
        <v>2447</v>
      </c>
      <c r="C12" s="118">
        <f t="shared" si="0"/>
        <v>21.01</v>
      </c>
      <c r="D12" s="181" t="s">
        <v>6</v>
      </c>
      <c r="E12" s="182">
        <f>IF(H11="AFIII",VLOOKUP($D12,Sheet1!$A$34:$K$48,5,FALSE),IF(H11="UBIII",VLOOKUP($D12,Sheet1!$A$34:$K$48,8,FALSE),VLOOKUP($D12,Sheet1!$A$34:$K$48,2,FALSE)))</f>
        <v>2.86</v>
      </c>
      <c r="F12" s="182">
        <f>ROUNDDOWN((IF(H11="AFIII",VLOOKUP($D12,Sheet1!$A$34:$K$48,5,FALSE),IF(H11="UBIII",VLOOKUP($D12,Sheet1!$A$34:$K$48,8,FALSE),VLOOKUP($D12,Sheet1!$A$34:$K$48,2,FALSE))))*0.85,2)</f>
        <v>2.4300000000000002</v>
      </c>
      <c r="G12" s="182">
        <f>IF(M11="迅速",IF(S11="黒魔紋",$F$1,$E$1),IF(S11="黒魔紋",IF(F12&lt;$F$1,$F$1,F12),IF(E12&lt;$E$1,$E$1,E12)))</f>
        <v>2.86</v>
      </c>
      <c r="H12" s="183" t="s">
        <v>84</v>
      </c>
      <c r="I12" s="182">
        <f>I11-G12</f>
        <v>7.1400000000000006</v>
      </c>
      <c r="K12" s="182">
        <f>K11-G12</f>
        <v>27.14</v>
      </c>
      <c r="L12" s="182">
        <f>L11-G12</f>
        <v>87.14</v>
      </c>
      <c r="N12" s="182">
        <f>N11-G12</f>
        <v>17.14</v>
      </c>
      <c r="Q12" s="182">
        <f t="shared" ref="Q12:Q18" si="8">Q11-G12</f>
        <v>15.75</v>
      </c>
      <c r="V12" s="201">
        <f>IF(H11="AFIII",VLOOKUP(D12,Sheet1!$A$4:$H$18,5,FALSE),IF(H11="UBIII",VLOOKUP(D12,Sheet1!$A$4:$H$18,8,FALSE),IF(H11="",VLOOKUP(D12,Sheet1!$A$4:$H$18,2,FALSE),"0")))</f>
        <v>1768</v>
      </c>
      <c r="W12" s="201">
        <f t="shared" si="5"/>
        <v>0</v>
      </c>
      <c r="X12" s="208">
        <f t="shared" si="6"/>
        <v>9182</v>
      </c>
      <c r="Y12" s="171" t="str">
        <f t="shared" si="1"/>
        <v>SUCCESS</v>
      </c>
      <c r="Z12" s="171" t="str">
        <f t="shared" si="2"/>
        <v>SUCCESS</v>
      </c>
      <c r="AA12" s="185">
        <f t="shared" si="7"/>
        <v>116.46834840552117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3"/>
        <v>3051</v>
      </c>
      <c r="C13" s="118">
        <f t="shared" si="0"/>
        <v>23.87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4"/>
        <v>2.86</v>
      </c>
      <c r="H13" s="183" t="s">
        <v>84</v>
      </c>
      <c r="I13" s="182">
        <f t="shared" ref="I13" si="9">I12-G13</f>
        <v>4.2800000000000011</v>
      </c>
      <c r="K13" s="182">
        <f t="shared" ref="K13:K18" si="10">K12-G13</f>
        <v>24.28</v>
      </c>
      <c r="L13" s="182">
        <f t="shared" ref="L13:L18" si="11">L12-G13</f>
        <v>84.28</v>
      </c>
      <c r="N13" s="182">
        <f>N12-G13</f>
        <v>14.280000000000001</v>
      </c>
      <c r="P13" s="183" t="s">
        <v>246</v>
      </c>
      <c r="Q13" s="182">
        <f t="shared" si="8"/>
        <v>12.89</v>
      </c>
      <c r="R13" s="182">
        <v>60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5"/>
        <v>0</v>
      </c>
      <c r="X13" s="208">
        <f t="shared" si="6"/>
        <v>7414</v>
      </c>
      <c r="Y13" s="171" t="str">
        <f t="shared" si="1"/>
        <v>SUCCESS</v>
      </c>
      <c r="Z13" s="171" t="str">
        <f t="shared" si="2"/>
        <v>SUCCESS</v>
      </c>
      <c r="AA13" s="185">
        <f t="shared" si="7"/>
        <v>127.8173439463762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388</v>
      </c>
      <c r="B14" s="113">
        <f t="shared" si="3"/>
        <v>3439</v>
      </c>
      <c r="C14" s="118">
        <f t="shared" si="0"/>
        <v>26.26</v>
      </c>
      <c r="D14" s="181" t="s">
        <v>1</v>
      </c>
      <c r="E14" s="182">
        <f>IF(H13="AFIII",VLOOKUP($D14,Sheet1!$A$34:$K$48,5,FALSE),IF(H13="UBIII",VLOOKUP($D14,Sheet1!$A$34:$K$48,8,FALSE),VLOOKUP($D14,Sheet1!$A$34:$K$48,2,FALSE)))</f>
        <v>2.39</v>
      </c>
      <c r="F14" s="182">
        <f>ROUNDDOWN((IF(H13="AFIII",VLOOKUP($D14,Sheet1!$A$34:$K$48,5,FALSE),IF(H13="UBIII",VLOOKUP($D14,Sheet1!$A$34:$K$48,8,FALSE),VLOOKUP($D14,Sheet1!$A$34:$K$48,2,FALSE))))*0.85,2)</f>
        <v>2.0299999999999998</v>
      </c>
      <c r="G14" s="182">
        <f t="shared" si="4"/>
        <v>2.39</v>
      </c>
      <c r="H14" s="183" t="s">
        <v>84</v>
      </c>
      <c r="I14" s="182">
        <v>10</v>
      </c>
      <c r="K14" s="182">
        <f t="shared" si="10"/>
        <v>21.89</v>
      </c>
      <c r="L14" s="182">
        <f t="shared" si="11"/>
        <v>81.89</v>
      </c>
      <c r="N14" s="182">
        <f t="shared" ref="N14" si="12">N13-G14</f>
        <v>11.89</v>
      </c>
      <c r="Q14" s="182">
        <f t="shared" si="8"/>
        <v>10.5</v>
      </c>
      <c r="R14" s="182">
        <f t="shared" ref="R14:R17" si="13">R13-G14</f>
        <v>57.61</v>
      </c>
      <c r="V14" s="201">
        <f>IF(H13="AFIII",VLOOKUP(D14,Sheet1!$A$4:$H$18,5,FALSE),IF(H13="UBIII",VLOOKUP(D14,Sheet1!$A$4:$H$18,8,FALSE),IF(H13="",VLOOKUP(D14,Sheet1!$A$4:$H$18,2,FALSE),"0")))</f>
        <v>2120</v>
      </c>
      <c r="W14" s="201">
        <f t="shared" si="5"/>
        <v>0</v>
      </c>
      <c r="X14" s="208">
        <f t="shared" si="6"/>
        <v>5294</v>
      </c>
      <c r="Y14" s="171" t="str">
        <f t="shared" si="1"/>
        <v>SUCCESS</v>
      </c>
      <c r="Z14" s="171" t="str">
        <f t="shared" si="2"/>
        <v>SUCCESS</v>
      </c>
      <c r="AA14" s="185">
        <f t="shared" si="7"/>
        <v>130.95963442498095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604</v>
      </c>
      <c r="B15" s="113">
        <f t="shared" si="3"/>
        <v>4043</v>
      </c>
      <c r="C15" s="118">
        <f t="shared" si="0"/>
        <v>29.12</v>
      </c>
      <c r="D15" s="181" t="s">
        <v>6</v>
      </c>
      <c r="E15" s="182">
        <f>IF(H14="AFIII",VLOOKUP($D15,Sheet1!$A$34:$K$48,5,FALSE),IF(H14="UBIII",VLOOKUP($D15,Sheet1!$A$34:$K$48,8,FALSE),VLOOKUP($D15,Sheet1!$A$34:$K$48,2,FALSE)))</f>
        <v>2.86</v>
      </c>
      <c r="F15" s="182">
        <f>ROUNDDOWN((IF(H14="AFIII",VLOOKUP($D15,Sheet1!$A$34:$K$48,5,FALSE),IF(H14="UBIII",VLOOKUP($D15,Sheet1!$A$34:$K$48,8,FALSE),VLOOKUP($D15,Sheet1!$A$34:$K$48,2,FALSE))))*0.85,2)</f>
        <v>2.4300000000000002</v>
      </c>
      <c r="G15" s="182">
        <f t="shared" si="4"/>
        <v>2.86</v>
      </c>
      <c r="H15" s="183" t="s">
        <v>84</v>
      </c>
      <c r="I15" s="182">
        <f>I14-G15</f>
        <v>7.1400000000000006</v>
      </c>
      <c r="K15" s="182">
        <f>K14-G15</f>
        <v>19.03</v>
      </c>
      <c r="L15" s="182">
        <f>L14-G15</f>
        <v>79.03</v>
      </c>
      <c r="N15" s="182">
        <f>N14-G15</f>
        <v>9.0300000000000011</v>
      </c>
      <c r="Q15" s="182">
        <f t="shared" si="8"/>
        <v>7.6400000000000006</v>
      </c>
      <c r="R15" s="182">
        <f t="shared" si="13"/>
        <v>54.75</v>
      </c>
      <c r="V15" s="201">
        <f>IF(H14="AFIII",VLOOKUP(D15,Sheet1!$A$4:$H$18,5,FALSE),IF(H14="UBIII",VLOOKUP(D15,Sheet1!$A$4:$H$18,8,FALSE),IF(H14="",VLOOKUP(D15,Sheet1!$A$4:$H$18,2,FALSE),"0")))</f>
        <v>1768</v>
      </c>
      <c r="W15" s="201">
        <f t="shared" si="5"/>
        <v>0</v>
      </c>
      <c r="X15" s="208">
        <f t="shared" si="6"/>
        <v>3526</v>
      </c>
      <c r="Y15" s="171" t="str">
        <f t="shared" si="1"/>
        <v>SUCCESS</v>
      </c>
      <c r="Z15" s="171" t="str">
        <f t="shared" si="2"/>
        <v>SUCCESS</v>
      </c>
      <c r="AA15" s="185">
        <f t="shared" si="7"/>
        <v>138.83928571428572</v>
      </c>
    </row>
    <row r="16" spans="1:27">
      <c r="A16" s="112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604</v>
      </c>
      <c r="B16" s="113">
        <f t="shared" si="3"/>
        <v>4647</v>
      </c>
      <c r="C16" s="118">
        <f t="shared" si="0"/>
        <v>31.98</v>
      </c>
      <c r="D16" s="181" t="s">
        <v>6</v>
      </c>
      <c r="E16" s="182">
        <f>IF(H15="AFIII",VLOOKUP($D16,Sheet1!$A$34:$K$48,5,FALSE),IF(H15="UBIII",VLOOKUP($D16,Sheet1!$A$34:$K$48,8,FALSE),VLOOKUP($D16,Sheet1!$A$34:$K$48,2,FALSE)))</f>
        <v>2.86</v>
      </c>
      <c r="F16" s="182">
        <f>ROUNDDOWN((IF(H15="AFIII",VLOOKUP($D16,Sheet1!$A$34:$K$48,5,FALSE),IF(H15="UBIII",VLOOKUP($D16,Sheet1!$A$34:$K$48,8,FALSE),VLOOKUP($D16,Sheet1!$A$34:$K$48,2,FALSE))))*0.85,2)</f>
        <v>2.4300000000000002</v>
      </c>
      <c r="G16" s="182">
        <f t="shared" si="4"/>
        <v>2.86</v>
      </c>
      <c r="H16" s="183" t="s">
        <v>84</v>
      </c>
      <c r="I16" s="182">
        <f>I15-G16</f>
        <v>4.2800000000000011</v>
      </c>
      <c r="K16" s="182">
        <f t="shared" si="10"/>
        <v>16.170000000000002</v>
      </c>
      <c r="L16" s="182">
        <f t="shared" si="11"/>
        <v>76.17</v>
      </c>
      <c r="M16" s="183" t="s">
        <v>102</v>
      </c>
      <c r="N16" s="182">
        <f t="shared" ref="N16:N18" si="14">N15-G16</f>
        <v>6.1700000000000017</v>
      </c>
      <c r="O16" s="182">
        <v>60</v>
      </c>
      <c r="Q16" s="182">
        <f t="shared" si="8"/>
        <v>4.7800000000000011</v>
      </c>
      <c r="R16" s="182">
        <f t="shared" si="13"/>
        <v>51.89</v>
      </c>
      <c r="V16" s="201">
        <f>IF(H15="AFIII",VLOOKUP(D16,Sheet1!$A$4:$H$18,5,FALSE),IF(H15="UBIII",VLOOKUP(D16,Sheet1!$A$4:$H$18,8,FALSE),IF(H15="",VLOOKUP(D16,Sheet1!$A$4:$H$18,2,FALSE),"0")))</f>
        <v>1768</v>
      </c>
      <c r="W16" s="201">
        <f t="shared" si="5"/>
        <v>0</v>
      </c>
      <c r="X16" s="208">
        <f t="shared" si="6"/>
        <v>1758</v>
      </c>
      <c r="Y16" s="171" t="str">
        <f t="shared" si="1"/>
        <v>SUCCESS</v>
      </c>
      <c r="Z16" s="171" t="str">
        <f t="shared" si="2"/>
        <v>SUCCESS</v>
      </c>
      <c r="AA16" s="185">
        <f t="shared" si="7"/>
        <v>145.30956848030019</v>
      </c>
    </row>
    <row r="17" spans="1:27">
      <c r="A17" s="112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561</v>
      </c>
      <c r="B17" s="113">
        <f t="shared" si="3"/>
        <v>5208</v>
      </c>
      <c r="C17" s="118">
        <f t="shared" si="0"/>
        <v>34.369999999999997</v>
      </c>
      <c r="D17" s="181" t="s">
        <v>10</v>
      </c>
      <c r="E17" s="182">
        <f>IF(H16="AFIII",VLOOKUP($D17,Sheet1!$A$34:$K$48,5,FALSE),IF(H16="UBIII",VLOOKUP($D17,Sheet1!$A$34:$K$48,8,FALSE),VLOOKUP($D17,Sheet1!$A$34:$K$48,2,FALSE)))</f>
        <v>3.82</v>
      </c>
      <c r="F17" s="182">
        <f>ROUNDDOWN((IF(H16="AFIII",VLOOKUP($D17,Sheet1!$A$34:$K$48,5,FALSE),IF(H16="UBIII",VLOOKUP($D17,Sheet1!$A$34:$K$48,8,FALSE),VLOOKUP($D17,Sheet1!$A$34:$K$48,2,FALSE))))*0.85,2)</f>
        <v>3.24</v>
      </c>
      <c r="G17" s="182">
        <f t="shared" si="4"/>
        <v>2.39</v>
      </c>
      <c r="H17" s="183" t="s">
        <v>84</v>
      </c>
      <c r="I17" s="182">
        <v>10</v>
      </c>
      <c r="K17" s="182">
        <f t="shared" si="10"/>
        <v>13.780000000000001</v>
      </c>
      <c r="L17" s="182">
        <f t="shared" si="11"/>
        <v>73.78</v>
      </c>
      <c r="M17" s="183" t="s">
        <v>100</v>
      </c>
      <c r="N17" s="182">
        <f t="shared" si="14"/>
        <v>3.7800000000000016</v>
      </c>
      <c r="O17" s="182">
        <v>180</v>
      </c>
      <c r="Q17" s="182">
        <f t="shared" si="8"/>
        <v>2.390000000000001</v>
      </c>
      <c r="R17" s="182">
        <f t="shared" si="13"/>
        <v>49.5</v>
      </c>
      <c r="V17" s="201">
        <f>IF(H16="AFIII",VLOOKUP(D17,Sheet1!$A$4:$H$18,5,FALSE),IF(H16="UBIII",VLOOKUP(D17,Sheet1!$A$4:$H$18,8,FALSE),IF(H16="",VLOOKUP(D17,Sheet1!$A$4:$H$18,2,FALSE),"0")))</f>
        <v>884</v>
      </c>
      <c r="W17" s="201">
        <f t="shared" si="5"/>
        <v>0</v>
      </c>
      <c r="X17" s="208">
        <f t="shared" si="6"/>
        <v>3417</v>
      </c>
      <c r="Y17" s="171" t="str">
        <f t="shared" si="1"/>
        <v>SUCCESS</v>
      </c>
      <c r="Z17" s="171" t="str">
        <f t="shared" si="2"/>
        <v>SUCCESS</v>
      </c>
      <c r="AA17" s="185">
        <f t="shared" si="7"/>
        <v>151.52749490835032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518</v>
      </c>
      <c r="B18" s="113">
        <f t="shared" si="3"/>
        <v>5726</v>
      </c>
      <c r="C18" s="118">
        <f>C17+G18</f>
        <v>36.76</v>
      </c>
      <c r="D18" s="181" t="s">
        <v>129</v>
      </c>
      <c r="E18" s="182">
        <f>IF(H17="AFIII",VLOOKUP($D18,Sheet1!$A$34:$K$48,5,FALSE),IF(H17="UBIII",VLOOKUP($D18,Sheet1!$A$34:$K$48,8,FALSE),VLOOKUP($D18,Sheet1!$A$34:$K$48,2,FALSE)))</f>
        <v>2.39</v>
      </c>
      <c r="F18" s="182">
        <f>ROUNDDOWN((IF(H17="AFIII",VLOOKUP($D18,Sheet1!$A$34:$K$48,5,FALSE),IF(H17="UBIII",VLOOKUP($D18,Sheet1!$A$34:$K$48,8,FALSE),VLOOKUP($D18,Sheet1!$A$34:$K$48,2,FALSE))))*0.85,2)</f>
        <v>2.0299999999999998</v>
      </c>
      <c r="G18" s="182">
        <f t="shared" si="4"/>
        <v>2.39</v>
      </c>
      <c r="H18" s="183" t="s">
        <v>84</v>
      </c>
      <c r="I18" s="182">
        <v>10</v>
      </c>
      <c r="K18" s="182">
        <f t="shared" si="10"/>
        <v>11.39</v>
      </c>
      <c r="L18" s="182">
        <f t="shared" si="11"/>
        <v>71.39</v>
      </c>
      <c r="M18" s="183" t="s">
        <v>228</v>
      </c>
      <c r="N18" s="182">
        <f t="shared" si="14"/>
        <v>1.3900000000000015</v>
      </c>
      <c r="Q18" s="182">
        <f t="shared" si="8"/>
        <v>0</v>
      </c>
      <c r="R18" s="182">
        <f>R17-G18</f>
        <v>47.11</v>
      </c>
      <c r="V18" s="201">
        <f>IF(H17="AFIII",VLOOKUP(D18,Sheet1!$A$4:$H$18,5,FALSE),IF(H17="UBIII",VLOOKUP(D18,Sheet1!$A$4:$H$18,8,FALSE),IF(H17="",VLOOKUP(D18,Sheet1!$A$4:$H$18,2,FALSE),"0")))</f>
        <v>0</v>
      </c>
      <c r="W18" s="201">
        <f t="shared" si="5"/>
        <v>0</v>
      </c>
      <c r="X18" s="208">
        <f t="shared" si="6"/>
        <v>3417</v>
      </c>
      <c r="Y18" s="171" t="str">
        <f t="shared" si="1"/>
        <v>SUCCESS</v>
      </c>
      <c r="Z18" s="171" t="str">
        <f t="shared" si="2"/>
        <v>SUCCESS</v>
      </c>
      <c r="AA18" s="185">
        <f t="shared" si="7"/>
        <v>155.76713819368879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504</v>
      </c>
      <c r="B19" s="113">
        <f t="shared" ref="B19" si="15">B18+A19</f>
        <v>6230</v>
      </c>
      <c r="C19" s="118">
        <f>C18+G19</f>
        <v>39.619999999999997</v>
      </c>
      <c r="D19" s="181" t="s">
        <v>6</v>
      </c>
      <c r="E19" s="182">
        <f>IF(H18="AFIII",VLOOKUP($D19,Sheet1!$A$34:$K$48,5,FALSE),IF(H18="UBIII",VLOOKUP($D19,Sheet1!$A$34:$K$48,8,FALSE),VLOOKUP($D19,Sheet1!$A$34:$K$48,2,FALSE)))</f>
        <v>2.86</v>
      </c>
      <c r="F19" s="182">
        <f>ROUNDDOWN((IF(H18="AFIII",VLOOKUP($D19,Sheet1!$A$34:$K$48,5,FALSE),IF(H18="UBIII",VLOOKUP($D19,Sheet1!$A$34:$K$48,8,FALSE),VLOOKUP($D19,Sheet1!$A$34:$K$48,2,FALSE))))*0.85,2)</f>
        <v>2.4300000000000002</v>
      </c>
      <c r="G19" s="182">
        <f t="shared" ref="G19" si="16">IF(M18="迅速",IF(S18="黒魔紋",$F$1,$E$1),IF(S18="黒魔紋",IF(F19&lt;$F$1,$F$1,F19),IF(E19&lt;$E$1,$E$1,E19)))</f>
        <v>2.86</v>
      </c>
      <c r="H19" s="183" t="s">
        <v>84</v>
      </c>
      <c r="I19" s="182">
        <f>I18-G19</f>
        <v>7.1400000000000006</v>
      </c>
      <c r="K19" s="182">
        <f t="shared" ref="K19" si="17">K18-G19</f>
        <v>8.5300000000000011</v>
      </c>
      <c r="L19" s="182">
        <f t="shared" ref="L19" si="18">L18-G19</f>
        <v>68.53</v>
      </c>
      <c r="N19" s="182">
        <f t="shared" ref="N19" si="19">N18-G19</f>
        <v>-1.4699999999999984</v>
      </c>
      <c r="Q19" s="182">
        <f t="shared" ref="Q19" si="20">Q18-G19</f>
        <v>-2.86</v>
      </c>
      <c r="R19" s="182">
        <f>R18-G19</f>
        <v>44.25</v>
      </c>
      <c r="V19" s="201">
        <f>IF(H18="AFIII",VLOOKUP(D19,Sheet1!$A$4:$H$18,5,FALSE),IF(H18="UBIII",VLOOKUP(D19,Sheet1!$A$4:$H$18,8,FALSE),IF(H18="",VLOOKUP(D19,Sheet1!$A$4:$H$18,2,FALSE),"0")))</f>
        <v>1768</v>
      </c>
      <c r="W19" s="201">
        <f t="shared" ref="W19:W20" si="21">IF(H18="UBIII",$X$2,0)</f>
        <v>0</v>
      </c>
      <c r="X19" s="208">
        <f>IF(D19="フレア",IF(M19="コンバート",$X$1,0),IF(X18-V19+W19&gt;$X$3,$X$3-V19,X18-V19+W19))</f>
        <v>1649</v>
      </c>
      <c r="Y19" s="171" t="str">
        <f t="shared" ref="Y19:Y20" si="22">IF(X18-V19&lt;0,"ERROR","SUCCESS")</f>
        <v>SUCCESS</v>
      </c>
      <c r="Z19" s="171" t="str">
        <f t="shared" ref="Z19:Z20" si="23">IF(K18-G19&lt;0,"ERROR","SUCCESS")</f>
        <v>SUCCESS</v>
      </c>
      <c r="AA19" s="185">
        <f t="shared" ref="AA19:AA20" si="24">B19/C19</f>
        <v>157.24381625441697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168</v>
      </c>
      <c r="B20" s="113">
        <f t="shared" ref="B20" si="25">B19+A20</f>
        <v>6398</v>
      </c>
      <c r="C20" s="118">
        <f t="shared" ref="C20" si="26">C19+G20</f>
        <v>42.01</v>
      </c>
      <c r="D20" s="181" t="s">
        <v>12</v>
      </c>
      <c r="E20" s="182">
        <f>IF(H19="AFIII",VLOOKUP($D20,Sheet1!$A$34:$K$48,5,FALSE),IF(H19="UBIII",VLOOKUP($D20,Sheet1!$A$34:$K$48,8,FALSE),VLOOKUP($D20,Sheet1!$A$34:$K$48,2,FALSE)))</f>
        <v>1.67</v>
      </c>
      <c r="F20" s="182">
        <f>ROUNDDOWN((IF(H19="AFIII",VLOOKUP($D20,Sheet1!$A$34:$K$48,5,FALSE),IF(H19="UBIII",VLOOKUP($D20,Sheet1!$A$34:$K$48,8,FALSE),VLOOKUP($D20,Sheet1!$A$34:$K$48,2,FALSE))))*0.85,2)</f>
        <v>1.41</v>
      </c>
      <c r="G20" s="182">
        <f>IF(M19="迅速",IF(S19="黒魔紋",$F$1,$E$1),IF(S19="黒魔紋",IF(F20&lt;$F$1,$F$1,F20),IF(E20&lt;$E$1,$E$1,E20)))</f>
        <v>2.39</v>
      </c>
      <c r="H20" s="183" t="s">
        <v>122</v>
      </c>
      <c r="I20" s="182">
        <v>10</v>
      </c>
      <c r="K20" s="182">
        <f t="shared" ref="K20" si="27">K19-G20</f>
        <v>6.1400000000000006</v>
      </c>
      <c r="L20" s="182">
        <f t="shared" ref="L20" si="28">L19-G20</f>
        <v>66.14</v>
      </c>
      <c r="N20" s="182">
        <f t="shared" ref="N20" si="29">N19-G20</f>
        <v>-3.8599999999999985</v>
      </c>
      <c r="O20" s="182">
        <f>O16-G17-G18-G20-G19</f>
        <v>49.97</v>
      </c>
      <c r="Q20" s="182">
        <f t="shared" ref="Q20" si="30">Q19-G20</f>
        <v>-5.25</v>
      </c>
      <c r="R20" s="182">
        <f t="shared" ref="R20" si="31">R19-G20</f>
        <v>41.86</v>
      </c>
      <c r="V20" s="201">
        <f>IF(H19="AFIII",VLOOKUP(D20,Sheet1!$A$4:$H$18,5,FALSE),IF(H19="UBIII",VLOOKUP(D20,Sheet1!$A$4:$H$18,8,FALSE),IF(H19="",VLOOKUP(D20,Sheet1!$A$4:$H$18,2,FALSE),"0")))</f>
        <v>265</v>
      </c>
      <c r="W20" s="201">
        <f t="shared" si="21"/>
        <v>0</v>
      </c>
      <c r="X20" s="208">
        <f t="shared" ref="X20" si="32">IF(D20="フレア",IF(M20="コンバート",$X$1,0),IF(X19-V20+W20&gt;$X$3,$X$3-V20,X19-V20+W20))</f>
        <v>1384</v>
      </c>
      <c r="Y20" s="171" t="str">
        <f t="shared" si="22"/>
        <v>SUCCESS</v>
      </c>
      <c r="Z20" s="171" t="str">
        <f t="shared" si="23"/>
        <v>SUCCESS</v>
      </c>
      <c r="AA20" s="185">
        <f t="shared" si="24"/>
        <v>152.29707212568437</v>
      </c>
    </row>
    <row r="21" spans="1:27">
      <c r="A21" s="112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295</v>
      </c>
      <c r="B21" s="113">
        <f t="shared" ref="B21" si="33">B20+A21</f>
        <v>6693</v>
      </c>
      <c r="C21" s="118">
        <f t="shared" ref="C21" si="34">C20+G21</f>
        <v>44.87</v>
      </c>
      <c r="D21" s="181" t="s">
        <v>19</v>
      </c>
      <c r="E21" s="182">
        <f>IF(H20="AFIII",VLOOKUP($D21,Sheet1!$A$34:$K$48,5,FALSE),IF(H20="UBIII",VLOOKUP($D21,Sheet1!$A$34:$K$48,8,FALSE),VLOOKUP($D21,Sheet1!$A$34:$K$48,2,FALSE)))</f>
        <v>2.86</v>
      </c>
      <c r="F21" s="182">
        <f>ROUNDDOWN((IF(H20="AFIII",VLOOKUP($D21,Sheet1!$A$34:$K$48,5,FALSE),IF(H20="UBIII",VLOOKUP($D21,Sheet1!$A$34:$K$48,8,FALSE),VLOOKUP($D21,Sheet1!$A$34:$K$48,2,FALSE))))*0.85,2)</f>
        <v>2.4300000000000002</v>
      </c>
      <c r="G21" s="182">
        <f>IF(M20="迅速",IF(S20="黒魔紋",$F$1,$E$1),IF(S20="黒魔紋",IF(F21&lt;$F$1,$F$1,F21),IF(E21&lt;$E$1,$E$1,E21)))</f>
        <v>2.86</v>
      </c>
      <c r="H21" s="183" t="s">
        <v>122</v>
      </c>
      <c r="I21" s="182">
        <f t="shared" ref="I21:I22" si="35">I20-G21</f>
        <v>7.1400000000000006</v>
      </c>
      <c r="K21" s="182">
        <f t="shared" ref="K21" si="36">K20-G21</f>
        <v>3.2800000000000007</v>
      </c>
      <c r="L21" s="182">
        <f t="shared" ref="L21" si="37">L20-G21</f>
        <v>63.28</v>
      </c>
      <c r="N21" s="182">
        <f t="shared" ref="N21" si="38">N20-G21</f>
        <v>-6.7199999999999989</v>
      </c>
      <c r="O21" s="182">
        <f>O17-G18-G19-G21-G20</f>
        <v>169.5</v>
      </c>
      <c r="Q21" s="182">
        <f t="shared" ref="Q21" si="39">Q20-G21</f>
        <v>-8.11</v>
      </c>
      <c r="R21" s="182">
        <f t="shared" ref="R21" si="40">R20-G21</f>
        <v>39</v>
      </c>
      <c r="V21" s="201">
        <f>IF(H20="AFIII",VLOOKUP(D21,Sheet1!$A$4:$H$18,5,FALSE),IF(H20="UBIII",VLOOKUP(D21,Sheet1!$A$4:$H$18,8,FALSE),IF(H20="",VLOOKUP(D21,Sheet1!$A$4:$H$18,2,FALSE),"0")))</f>
        <v>1060</v>
      </c>
      <c r="W21" s="201">
        <f t="shared" ref="W21" si="41">IF(H20="UBIII",$X$2,0)</f>
        <v>7033</v>
      </c>
      <c r="X21" s="208">
        <f t="shared" ref="X21" si="42">IF(D21="フレア",IF(M21="コンバート",$X$1,0),IF(X20-V21+W21&gt;$X$3,$X$3-V21,X20-V21+W21))</f>
        <v>7357</v>
      </c>
      <c r="Y21" s="171" t="str">
        <f t="shared" ref="Y21" si="43">IF(X20-V21&lt;0,"ERROR","SUCCESS")</f>
        <v>SUCCESS</v>
      </c>
      <c r="Z21" s="171" t="str">
        <f t="shared" ref="Z21" si="44">IF(K20-G21&lt;0,"ERROR","SUCCESS")</f>
        <v>SUCCESS</v>
      </c>
      <c r="AA21" s="185">
        <f t="shared" ref="AA21" si="45">B21/C21</f>
        <v>149.16425228437708</v>
      </c>
    </row>
    <row r="22" spans="1:27">
      <c r="A22" s="119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280</v>
      </c>
      <c r="B22" s="120">
        <f t="shared" ref="B22:B82" si="46">B21+A22</f>
        <v>6973</v>
      </c>
      <c r="C22" s="121">
        <f t="shared" ref="C22:C47" si="47">C21+G22</f>
        <v>47.73</v>
      </c>
      <c r="D22" s="191" t="s">
        <v>14</v>
      </c>
      <c r="E22" s="192">
        <f>IF(H21="AFIII",VLOOKUP($D22,Sheet1!$A$34:$K$48,5,FALSE),IF(H21="UBIII",VLOOKUP($D22,Sheet1!$A$34:$K$48,8,FALSE),VLOOKUP($D22,Sheet1!$A$34:$K$48,2,FALSE)))</f>
        <v>2.86</v>
      </c>
      <c r="F22" s="192">
        <f>ROUNDDOWN((IF(H21="AFIII",VLOOKUP($D22,Sheet1!$A$34:$K$48,5,FALSE),IF(H21="UBIII",VLOOKUP($D22,Sheet1!$A$34:$K$48,8,FALSE),VLOOKUP($D22,Sheet1!$A$34:$K$48,2,FALSE))))*0.85,2)</f>
        <v>2.4300000000000002</v>
      </c>
      <c r="G22" s="192">
        <f t="shared" ref="G22:G63" si="48">IF(M21="迅速",IF(S21="黒魔紋",$F$1,$E$1),IF(S21="黒魔紋",IF(F22&lt;$F$1,$F$1,F22),IF(E22&lt;$E$1,$E$1,E22)))</f>
        <v>2.86</v>
      </c>
      <c r="H22" s="193" t="s">
        <v>122</v>
      </c>
      <c r="I22" s="192">
        <f t="shared" si="35"/>
        <v>4.2800000000000011</v>
      </c>
      <c r="J22" s="193"/>
      <c r="K22" s="192">
        <v>25</v>
      </c>
      <c r="L22" s="192">
        <f t="shared" ref="L22:L48" si="49">L21-G22</f>
        <v>60.42</v>
      </c>
      <c r="M22" s="193"/>
      <c r="N22" s="192"/>
      <c r="O22" s="192">
        <f t="shared" ref="O22:O37" si="50">O21-G22</f>
        <v>166.64</v>
      </c>
      <c r="P22" s="193"/>
      <c r="Q22" s="192"/>
      <c r="R22" s="192">
        <f t="shared" ref="R22:R34" si="51">R21-G22</f>
        <v>36.14</v>
      </c>
      <c r="S22" s="193"/>
      <c r="T22" s="192"/>
      <c r="U22" s="194"/>
      <c r="V22" s="211">
        <f>IF(H21="AFIII",VLOOKUP(D22,Sheet1!$A$4:$H$18,5,FALSE),IF(H21="UBIII",VLOOKUP(D22,Sheet1!$A$4:$H$18,8,FALSE),IF(H21="",VLOOKUP(D22,Sheet1!$A$4:$H$18,2,FALSE),"0")))</f>
        <v>884</v>
      </c>
      <c r="W22" s="211">
        <f t="shared" ref="W22:W82" si="52">IF(H21="UBIII",$X$2,0)</f>
        <v>7033</v>
      </c>
      <c r="X22" s="212">
        <f t="shared" ref="X22:X35" si="53">IF(D22="フレア",IF(M22="コンバート",$X$1,0),IF(X21-V22+W22&gt;$X$3,$X$3-V22,X21-V22+W22))</f>
        <v>10508</v>
      </c>
      <c r="Y22" s="195" t="str">
        <f t="shared" ref="Y22:Y82" si="54">IF(X21-V22&lt;0,"ERROR","SUCCESS")</f>
        <v>SUCCESS</v>
      </c>
      <c r="Z22" s="195" t="str">
        <f t="shared" ref="Z22:Z82" si="55">IF(K21-G22&lt;0,"ERROR","SUCCESS")</f>
        <v>SUCCESS</v>
      </c>
      <c r="AA22" s="185">
        <f t="shared" ref="AA22:AA81" si="56">B22/C22</f>
        <v>146.09260423213914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168</v>
      </c>
      <c r="B23" s="113">
        <f t="shared" si="46"/>
        <v>7141</v>
      </c>
      <c r="C23" s="118">
        <f t="shared" si="47"/>
        <v>50.12</v>
      </c>
      <c r="D23" s="181" t="s">
        <v>4</v>
      </c>
      <c r="E23" s="182">
        <f>IF(H22="AFIII",VLOOKUP($D23,Sheet1!$A$34:$K$48,5,FALSE),IF(H22="UBIII",VLOOKUP($D23,Sheet1!$A$34:$K$48,8,FALSE),VLOOKUP($D23,Sheet1!$A$34:$K$48,2,FALSE)))</f>
        <v>1.67</v>
      </c>
      <c r="F23" s="182">
        <f>ROUNDDOWN((IF(H22="AFIII",VLOOKUP($D23,Sheet1!$A$34:$K$48,5,FALSE),IF(H22="UBIII",VLOOKUP($D23,Sheet1!$A$34:$K$48,8,FALSE),VLOOKUP($D23,Sheet1!$A$34:$K$48,2,FALSE))))*0.85,2)</f>
        <v>1.41</v>
      </c>
      <c r="G23" s="182">
        <f t="shared" si="48"/>
        <v>2.39</v>
      </c>
      <c r="H23" s="183" t="s">
        <v>84</v>
      </c>
      <c r="I23" s="182">
        <v>10</v>
      </c>
      <c r="K23" s="182">
        <f>K22-G23</f>
        <v>22.61</v>
      </c>
      <c r="L23" s="182">
        <f t="shared" si="49"/>
        <v>58.03</v>
      </c>
      <c r="O23" s="182">
        <f t="shared" si="50"/>
        <v>164.25</v>
      </c>
      <c r="R23" s="182">
        <f t="shared" si="51"/>
        <v>33.75</v>
      </c>
      <c r="V23" s="201">
        <f>IF(H22="AFIII",VLOOKUP(D23,Sheet1!$A$4:$H$18,5,FALSE),IF(H22="UBIII",VLOOKUP(D23,Sheet1!$A$4:$H$18,8,FALSE),IF(H22="",VLOOKUP(D23,Sheet1!$A$4:$H$18,2,FALSE),"0")))</f>
        <v>442</v>
      </c>
      <c r="W23" s="201">
        <f t="shared" si="52"/>
        <v>7033</v>
      </c>
      <c r="X23" s="208">
        <f t="shared" si="53"/>
        <v>10950</v>
      </c>
      <c r="Y23" s="171" t="str">
        <f t="shared" si="54"/>
        <v>SUCCESS</v>
      </c>
      <c r="Z23" s="171" t="str">
        <f t="shared" si="55"/>
        <v>SUCCESS</v>
      </c>
      <c r="AA23" s="185">
        <f t="shared" si="56"/>
        <v>142.47805267358342</v>
      </c>
    </row>
    <row r="24" spans="1:27">
      <c r="A24" s="112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504</v>
      </c>
      <c r="B24" s="113">
        <f t="shared" si="46"/>
        <v>7645</v>
      </c>
      <c r="C24" s="118">
        <f t="shared" si="47"/>
        <v>52.98</v>
      </c>
      <c r="D24" s="181" t="s">
        <v>6</v>
      </c>
      <c r="E24" s="182">
        <f>IF(H23="AFIII",VLOOKUP($D24,Sheet1!$A$34:$K$48,5,FALSE),IF(H23="UBIII",VLOOKUP($D24,Sheet1!$A$34:$K$48,8,FALSE),VLOOKUP($D24,Sheet1!$A$34:$K$48,2,FALSE)))</f>
        <v>2.86</v>
      </c>
      <c r="F24" s="182">
        <f>ROUNDDOWN((IF(H23="AFIII",VLOOKUP($D24,Sheet1!$A$34:$K$48,5,FALSE),IF(H23="UBIII",VLOOKUP($D24,Sheet1!$A$34:$K$48,8,FALSE),VLOOKUP($D24,Sheet1!$A$34:$K$48,2,FALSE))))*0.85,2)</f>
        <v>2.4300000000000002</v>
      </c>
      <c r="G24" s="182">
        <f t="shared" si="48"/>
        <v>2.86</v>
      </c>
      <c r="H24" s="183" t="s">
        <v>84</v>
      </c>
      <c r="I24" s="182">
        <f>I23-G24</f>
        <v>7.1400000000000006</v>
      </c>
      <c r="K24" s="182">
        <f t="shared" ref="K24:K30" si="57">K23-G24</f>
        <v>19.75</v>
      </c>
      <c r="L24" s="182">
        <f t="shared" si="49"/>
        <v>55.17</v>
      </c>
      <c r="O24" s="182">
        <f t="shared" si="50"/>
        <v>161.38999999999999</v>
      </c>
      <c r="R24" s="182">
        <f t="shared" si="51"/>
        <v>30.89</v>
      </c>
      <c r="V24" s="201">
        <f>IF(H23="AFIII",VLOOKUP(D24,Sheet1!$A$4:$H$18,5,FALSE),IF(H23="UBIII",VLOOKUP(D24,Sheet1!$A$4:$H$18,8,FALSE),IF(H23="",VLOOKUP(D24,Sheet1!$A$4:$H$18,2,FALSE),"0")))</f>
        <v>1768</v>
      </c>
      <c r="W24" s="201">
        <f t="shared" si="52"/>
        <v>0</v>
      </c>
      <c r="X24" s="208">
        <f t="shared" si="53"/>
        <v>9182</v>
      </c>
      <c r="Y24" s="171" t="str">
        <f t="shared" si="54"/>
        <v>SUCCESS</v>
      </c>
      <c r="Z24" s="171" t="str">
        <f t="shared" si="55"/>
        <v>SUCCESS</v>
      </c>
      <c r="AA24" s="185">
        <f t="shared" si="56"/>
        <v>144.29973574933939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504</v>
      </c>
      <c r="B25" s="113">
        <f t="shared" si="46"/>
        <v>8149</v>
      </c>
      <c r="C25" s="118">
        <f t="shared" si="47"/>
        <v>55.839999999999996</v>
      </c>
      <c r="D25" s="181" t="s">
        <v>6</v>
      </c>
      <c r="E25" s="182">
        <f>IF(H24="AFIII",VLOOKUP($D25,Sheet1!$A$34:$K$48,5,FALSE),IF(H24="UBIII",VLOOKUP($D25,Sheet1!$A$34:$K$48,8,FALSE),VLOOKUP($D25,Sheet1!$A$34:$K$48,2,FALSE)))</f>
        <v>2.86</v>
      </c>
      <c r="F25" s="182">
        <f>ROUNDDOWN((IF(H24="AFIII",VLOOKUP($D25,Sheet1!$A$34:$K$48,5,FALSE),IF(H24="UBIII",VLOOKUP($D25,Sheet1!$A$34:$K$48,8,FALSE),VLOOKUP($D25,Sheet1!$A$34:$K$48,2,FALSE))))*0.85,2)</f>
        <v>2.4300000000000002</v>
      </c>
      <c r="G25" s="182">
        <f t="shared" si="48"/>
        <v>2.86</v>
      </c>
      <c r="H25" s="183" t="s">
        <v>84</v>
      </c>
      <c r="I25" s="182">
        <f>I24-G25</f>
        <v>4.2800000000000011</v>
      </c>
      <c r="K25" s="182">
        <f t="shared" si="57"/>
        <v>16.89</v>
      </c>
      <c r="L25" s="182">
        <f t="shared" si="49"/>
        <v>52.31</v>
      </c>
      <c r="O25" s="182">
        <f t="shared" si="50"/>
        <v>158.52999999999997</v>
      </c>
      <c r="R25" s="182">
        <f t="shared" si="51"/>
        <v>28.03</v>
      </c>
      <c r="V25" s="201">
        <f>IF(H24="AFIII",VLOOKUP(D25,Sheet1!$A$4:$H$18,5,FALSE),IF(H24="UBIII",VLOOKUP(D25,Sheet1!$A$4:$H$18,8,FALSE),IF(H24="",VLOOKUP(D25,Sheet1!$A$4:$H$18,2,FALSE),"0")))</f>
        <v>1768</v>
      </c>
      <c r="W25" s="201">
        <f t="shared" si="52"/>
        <v>0</v>
      </c>
      <c r="X25" s="208">
        <f t="shared" si="53"/>
        <v>7414</v>
      </c>
      <c r="Y25" s="171" t="str">
        <f t="shared" si="54"/>
        <v>SUCCESS</v>
      </c>
      <c r="Z25" s="171" t="str">
        <f t="shared" si="55"/>
        <v>SUCCESS</v>
      </c>
      <c r="AA25" s="185">
        <f t="shared" si="56"/>
        <v>145.93481375358166</v>
      </c>
    </row>
    <row r="26" spans="1:27">
      <c r="A26" s="112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324</v>
      </c>
      <c r="B26" s="113">
        <f t="shared" si="46"/>
        <v>8473</v>
      </c>
      <c r="C26" s="118">
        <f t="shared" si="47"/>
        <v>58.23</v>
      </c>
      <c r="D26" s="181" t="s">
        <v>1</v>
      </c>
      <c r="E26" s="182">
        <f>IF(H25="AFIII",VLOOKUP($D26,Sheet1!$A$34:$K$48,5,FALSE),IF(H25="UBIII",VLOOKUP($D26,Sheet1!$A$34:$K$48,8,FALSE),VLOOKUP($D26,Sheet1!$A$34:$K$48,2,FALSE)))</f>
        <v>2.39</v>
      </c>
      <c r="F26" s="182">
        <f>ROUNDDOWN((IF(H25="AFIII",VLOOKUP($D26,Sheet1!$A$34:$K$48,5,FALSE),IF(H25="UBIII",VLOOKUP($D26,Sheet1!$A$34:$K$48,8,FALSE),VLOOKUP($D26,Sheet1!$A$34:$K$48,2,FALSE))))*0.85,2)</f>
        <v>2.0299999999999998</v>
      </c>
      <c r="G26" s="182">
        <f t="shared" si="48"/>
        <v>2.39</v>
      </c>
      <c r="H26" s="183" t="s">
        <v>84</v>
      </c>
      <c r="I26" s="182">
        <v>10</v>
      </c>
      <c r="K26" s="182">
        <f t="shared" si="57"/>
        <v>14.5</v>
      </c>
      <c r="L26" s="182">
        <f t="shared" si="49"/>
        <v>49.92</v>
      </c>
      <c r="O26" s="182">
        <f t="shared" si="50"/>
        <v>156.13999999999999</v>
      </c>
      <c r="R26" s="182">
        <f t="shared" si="51"/>
        <v>25.64</v>
      </c>
      <c r="V26" s="201">
        <f>IF(H25="AFIII",VLOOKUP(D26,Sheet1!$A$4:$H$18,5,FALSE),IF(H25="UBIII",VLOOKUP(D26,Sheet1!$A$4:$H$18,8,FALSE),IF(H25="",VLOOKUP(D26,Sheet1!$A$4:$H$18,2,FALSE),"0")))</f>
        <v>2120</v>
      </c>
      <c r="W26" s="201">
        <f t="shared" si="52"/>
        <v>0</v>
      </c>
      <c r="X26" s="208">
        <f t="shared" si="53"/>
        <v>5294</v>
      </c>
      <c r="Y26" s="171" t="str">
        <f t="shared" si="54"/>
        <v>SUCCESS</v>
      </c>
      <c r="Z26" s="171" t="str">
        <f t="shared" si="55"/>
        <v>SUCCESS</v>
      </c>
      <c r="AA26" s="185">
        <f t="shared" si="56"/>
        <v>145.5091877039327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504</v>
      </c>
      <c r="B27" s="113">
        <f t="shared" si="46"/>
        <v>8977</v>
      </c>
      <c r="C27" s="118">
        <f t="shared" si="47"/>
        <v>61.089999999999996</v>
      </c>
      <c r="D27" s="181" t="s">
        <v>6</v>
      </c>
      <c r="E27" s="182">
        <f>IF(H26="AFIII",VLOOKUP($D27,Sheet1!$A$34:$K$48,5,FALSE),IF(H26="UBIII",VLOOKUP($D27,Sheet1!$A$34:$K$48,8,FALSE),VLOOKUP($D27,Sheet1!$A$34:$K$48,2,FALSE)))</f>
        <v>2.86</v>
      </c>
      <c r="F27" s="182">
        <f>ROUNDDOWN((IF(H26="AFIII",VLOOKUP($D27,Sheet1!$A$34:$K$48,5,FALSE),IF(H26="UBIII",VLOOKUP($D27,Sheet1!$A$34:$K$48,8,FALSE),VLOOKUP($D27,Sheet1!$A$34:$K$48,2,FALSE))))*0.85,2)</f>
        <v>2.4300000000000002</v>
      </c>
      <c r="G27" s="182">
        <f t="shared" si="48"/>
        <v>2.86</v>
      </c>
      <c r="H27" s="183" t="s">
        <v>84</v>
      </c>
      <c r="I27" s="182">
        <f>I26-G27</f>
        <v>7.1400000000000006</v>
      </c>
      <c r="K27" s="182">
        <f t="shared" si="57"/>
        <v>11.64</v>
      </c>
      <c r="L27" s="182">
        <f t="shared" si="49"/>
        <v>47.06</v>
      </c>
      <c r="O27" s="182">
        <f t="shared" si="50"/>
        <v>153.27999999999997</v>
      </c>
      <c r="R27" s="182">
        <f t="shared" si="51"/>
        <v>22.78</v>
      </c>
      <c r="V27" s="201">
        <f>IF(H26="AFIII",VLOOKUP(D27,Sheet1!$A$4:$H$18,5,FALSE),IF(H26="UBIII",VLOOKUP(D27,Sheet1!$A$4:$H$18,8,FALSE),IF(H26="",VLOOKUP(D27,Sheet1!$A$4:$H$18,2,FALSE),"0")))</f>
        <v>1768</v>
      </c>
      <c r="W27" s="201">
        <f t="shared" si="52"/>
        <v>0</v>
      </c>
      <c r="X27" s="208">
        <f t="shared" si="53"/>
        <v>3526</v>
      </c>
      <c r="Y27" s="171" t="str">
        <f t="shared" si="54"/>
        <v>SUCCESS</v>
      </c>
      <c r="Z27" s="171" t="str">
        <f t="shared" si="55"/>
        <v>SUCCESS</v>
      </c>
      <c r="AA27" s="185">
        <f t="shared" si="56"/>
        <v>146.94712718939272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si="46"/>
        <v>9481</v>
      </c>
      <c r="C28" s="118">
        <f t="shared" si="47"/>
        <v>63.949999999999996</v>
      </c>
      <c r="D28" s="181" t="s">
        <v>6</v>
      </c>
      <c r="E28" s="182">
        <f>IF(H27="AFIII",VLOOKUP($D28,Sheet1!$A$34:$K$48,5,FALSE),IF(H27="UBIII",VLOOKUP($D28,Sheet1!$A$34:$K$48,8,FALSE),VLOOKUP($D28,Sheet1!$A$34:$K$48,2,FALSE)))</f>
        <v>2.86</v>
      </c>
      <c r="F28" s="182">
        <f>ROUNDDOWN((IF(H27="AFIII",VLOOKUP($D28,Sheet1!$A$34:$K$48,5,FALSE),IF(H27="UBIII",VLOOKUP($D28,Sheet1!$A$34:$K$48,8,FALSE),VLOOKUP($D28,Sheet1!$A$34:$K$48,2,FALSE))))*0.85,2)</f>
        <v>2.4300000000000002</v>
      </c>
      <c r="G28" s="182">
        <f t="shared" si="48"/>
        <v>2.86</v>
      </c>
      <c r="H28" s="183" t="s">
        <v>84</v>
      </c>
      <c r="I28" s="182">
        <f>I27-G28</f>
        <v>4.2800000000000011</v>
      </c>
      <c r="K28" s="182">
        <f t="shared" si="57"/>
        <v>8.7800000000000011</v>
      </c>
      <c r="L28" s="182">
        <f t="shared" si="49"/>
        <v>44.2</v>
      </c>
      <c r="O28" s="182">
        <f t="shared" si="50"/>
        <v>150.41999999999996</v>
      </c>
      <c r="R28" s="182">
        <f t="shared" si="51"/>
        <v>19.920000000000002</v>
      </c>
      <c r="V28" s="201">
        <f>IF(H27="AFIII",VLOOKUP(D28,Sheet1!$A$4:$H$18,5,FALSE),IF(H27="UBIII",VLOOKUP(D28,Sheet1!$A$4:$H$18,8,FALSE),IF(H27="",VLOOKUP(D28,Sheet1!$A$4:$H$18,2,FALSE),"0")))</f>
        <v>1768</v>
      </c>
      <c r="W28" s="201">
        <f t="shared" si="52"/>
        <v>0</v>
      </c>
      <c r="X28" s="208">
        <f t="shared" si="53"/>
        <v>1758</v>
      </c>
      <c r="Y28" s="171" t="str">
        <f t="shared" si="54"/>
        <v>SUCCESS</v>
      </c>
      <c r="Z28" s="171" t="str">
        <f t="shared" si="55"/>
        <v>SUCCESS</v>
      </c>
      <c r="AA28" s="185">
        <f t="shared" si="56"/>
        <v>148.25645035183737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432</v>
      </c>
      <c r="B29" s="113">
        <f t="shared" si="46"/>
        <v>9913</v>
      </c>
      <c r="C29" s="118">
        <f t="shared" si="47"/>
        <v>66.339999999999989</v>
      </c>
      <c r="D29" s="181" t="s">
        <v>129</v>
      </c>
      <c r="E29" s="182">
        <f>IF(H28="AFIII",VLOOKUP($D29,Sheet1!$A$34:$K$48,5,FALSE),IF(H28="UBIII",VLOOKUP($D29,Sheet1!$A$34:$K$48,8,FALSE),VLOOKUP($D29,Sheet1!$A$34:$K$48,2,FALSE)))</f>
        <v>2.39</v>
      </c>
      <c r="F29" s="182">
        <f>ROUNDDOWN((IF(H28="AFIII",VLOOKUP($D29,Sheet1!$A$34:$K$48,5,FALSE),IF(H28="UBIII",VLOOKUP($D29,Sheet1!$A$34:$K$48,8,FALSE),VLOOKUP($D29,Sheet1!$A$34:$K$48,2,FALSE))))*0.85,2)</f>
        <v>2.0299999999999998</v>
      </c>
      <c r="G29" s="182">
        <f t="shared" si="48"/>
        <v>2.39</v>
      </c>
      <c r="H29" s="183" t="s">
        <v>84</v>
      </c>
      <c r="I29" s="182">
        <v>10</v>
      </c>
      <c r="K29" s="182">
        <f t="shared" si="57"/>
        <v>6.3900000000000006</v>
      </c>
      <c r="L29" s="182">
        <f t="shared" si="49"/>
        <v>41.81</v>
      </c>
      <c r="O29" s="182">
        <f t="shared" si="50"/>
        <v>148.02999999999997</v>
      </c>
      <c r="R29" s="182">
        <f t="shared" si="51"/>
        <v>17.53</v>
      </c>
      <c r="S29" s="183" t="s">
        <v>52</v>
      </c>
      <c r="T29" s="182">
        <v>30</v>
      </c>
      <c r="U29" s="184">
        <v>90</v>
      </c>
      <c r="V29" s="201">
        <f>IF(H28="AFIII",VLOOKUP(D29,Sheet1!$A$4:$H$18,5,FALSE),IF(H28="UBIII",VLOOKUP(D29,Sheet1!$A$4:$H$18,8,FALSE),IF(H28="",VLOOKUP(D29,Sheet1!$A$4:$H$18,2,FALSE),"0")))</f>
        <v>0</v>
      </c>
      <c r="W29" s="201">
        <f t="shared" si="52"/>
        <v>0</v>
      </c>
      <c r="X29" s="208">
        <f t="shared" si="53"/>
        <v>1758</v>
      </c>
      <c r="Y29" s="171" t="str">
        <f t="shared" si="54"/>
        <v>SUCCESS</v>
      </c>
      <c r="Z29" s="171" t="str">
        <f t="shared" si="55"/>
        <v>SUCCESS</v>
      </c>
      <c r="AA29" s="185">
        <f t="shared" si="56"/>
        <v>149.42719324690989</v>
      </c>
    </row>
    <row r="30" spans="1:27">
      <c r="A30" s="112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168</v>
      </c>
      <c r="B30" s="113">
        <f t="shared" si="46"/>
        <v>10081</v>
      </c>
      <c r="C30" s="118">
        <f t="shared" si="47"/>
        <v>68.36999999999999</v>
      </c>
      <c r="D30" s="181" t="s">
        <v>12</v>
      </c>
      <c r="E30" s="182">
        <f>IF(H29="AFIII",VLOOKUP($D30,Sheet1!$A$34:$K$48,5,FALSE),IF(H29="UBIII",VLOOKUP($D30,Sheet1!$A$34:$K$48,8,FALSE),VLOOKUP($D30,Sheet1!$A$34:$K$48,2,FALSE)))</f>
        <v>1.67</v>
      </c>
      <c r="F30" s="182">
        <f>ROUNDDOWN((IF(H29="AFIII",VLOOKUP($D30,Sheet1!$A$34:$K$48,5,FALSE),IF(H29="UBIII",VLOOKUP($D30,Sheet1!$A$34:$K$48,8,FALSE),VLOOKUP($D30,Sheet1!$A$34:$K$48,2,FALSE))))*0.85,2)</f>
        <v>1.41</v>
      </c>
      <c r="G30" s="182">
        <f t="shared" si="48"/>
        <v>2.0299999999999998</v>
      </c>
      <c r="H30" s="183" t="s">
        <v>122</v>
      </c>
      <c r="I30" s="182">
        <f>I29-G30</f>
        <v>7.9700000000000006</v>
      </c>
      <c r="K30" s="182">
        <f t="shared" si="57"/>
        <v>4.3600000000000012</v>
      </c>
      <c r="L30" s="182">
        <f t="shared" si="49"/>
        <v>39.78</v>
      </c>
      <c r="O30" s="182">
        <f t="shared" si="50"/>
        <v>145.99999999999997</v>
      </c>
      <c r="R30" s="182">
        <f t="shared" si="51"/>
        <v>15.500000000000002</v>
      </c>
      <c r="S30" s="183" t="s">
        <v>87</v>
      </c>
      <c r="T30" s="182">
        <f t="shared" ref="T30:T43" si="58">T29-G30</f>
        <v>27.97</v>
      </c>
      <c r="U30" s="184">
        <f t="shared" ref="U30:U67" si="59">U29-G30</f>
        <v>87.97</v>
      </c>
      <c r="V30" s="201">
        <f>IF(H29="AFIII",VLOOKUP(D30,Sheet1!$A$4:$H$18,5,FALSE),IF(H29="UBIII",VLOOKUP(D30,Sheet1!$A$4:$H$18,8,FALSE),IF(H29="",VLOOKUP(D30,Sheet1!$A$4:$H$18,2,FALSE),"0")))</f>
        <v>265</v>
      </c>
      <c r="W30" s="201">
        <f t="shared" si="52"/>
        <v>0</v>
      </c>
      <c r="X30" s="208">
        <f t="shared" si="53"/>
        <v>1493</v>
      </c>
      <c r="Y30" s="171" t="str">
        <f t="shared" si="54"/>
        <v>SUCCESS</v>
      </c>
      <c r="Z30" s="171" t="str">
        <f t="shared" si="55"/>
        <v>SUCCESS</v>
      </c>
      <c r="AA30" s="185">
        <f t="shared" si="56"/>
        <v>147.44771098434987</v>
      </c>
    </row>
    <row r="31" spans="1:27">
      <c r="A31" s="119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280</v>
      </c>
      <c r="B31" s="120">
        <f t="shared" si="46"/>
        <v>10361</v>
      </c>
      <c r="C31" s="121">
        <f t="shared" si="47"/>
        <v>70.8</v>
      </c>
      <c r="D31" s="191" t="s">
        <v>14</v>
      </c>
      <c r="E31" s="192">
        <f>IF(H30="AFIII",VLOOKUP($D31,Sheet1!$A$34:$K$48,5,FALSE),IF(H30="UBIII",VLOOKUP($D31,Sheet1!$A$34:$K$48,8,FALSE),VLOOKUP($D31,Sheet1!$A$34:$K$48,2,FALSE)))</f>
        <v>2.86</v>
      </c>
      <c r="F31" s="192">
        <f>ROUNDDOWN((IF(H30="AFIII",VLOOKUP($D31,Sheet1!$A$34:$K$48,5,FALSE),IF(H30="UBIII",VLOOKUP($D31,Sheet1!$A$34:$K$48,8,FALSE),VLOOKUP($D31,Sheet1!$A$34:$K$48,2,FALSE))))*0.85,2)</f>
        <v>2.4300000000000002</v>
      </c>
      <c r="G31" s="192">
        <f t="shared" si="48"/>
        <v>2.4300000000000002</v>
      </c>
      <c r="H31" s="193" t="s">
        <v>122</v>
      </c>
      <c r="I31" s="192">
        <f>I30-G31</f>
        <v>5.5400000000000009</v>
      </c>
      <c r="J31" s="193"/>
      <c r="K31" s="192">
        <v>20</v>
      </c>
      <c r="L31" s="192">
        <f t="shared" si="49"/>
        <v>37.35</v>
      </c>
      <c r="M31" s="193"/>
      <c r="N31" s="192"/>
      <c r="O31" s="192">
        <f t="shared" si="50"/>
        <v>143.56999999999996</v>
      </c>
      <c r="P31" s="193"/>
      <c r="Q31" s="192"/>
      <c r="R31" s="192">
        <f t="shared" si="51"/>
        <v>13.070000000000002</v>
      </c>
      <c r="S31" s="193" t="s">
        <v>87</v>
      </c>
      <c r="T31" s="192">
        <f t="shared" si="58"/>
        <v>25.54</v>
      </c>
      <c r="U31" s="194">
        <f t="shared" si="59"/>
        <v>85.539999999999992</v>
      </c>
      <c r="V31" s="211">
        <f>IF(H30="AFIII",VLOOKUP(D31,Sheet1!$A$4:$H$18,5,FALSE),IF(H30="UBIII",VLOOKUP(D31,Sheet1!$A$4:$H$18,8,FALSE),IF(H30="",VLOOKUP(D31,Sheet1!$A$4:$H$18,2,FALSE),"0")))</f>
        <v>884</v>
      </c>
      <c r="W31" s="211">
        <f t="shared" si="52"/>
        <v>7033</v>
      </c>
      <c r="X31" s="212">
        <f t="shared" si="53"/>
        <v>7642</v>
      </c>
      <c r="Y31" s="195" t="str">
        <f t="shared" si="54"/>
        <v>SUCCESS</v>
      </c>
      <c r="Z31" s="195" t="str">
        <f t="shared" si="55"/>
        <v>SUCCESS</v>
      </c>
      <c r="AA31" s="185">
        <f t="shared" si="56"/>
        <v>146.34180790960451</v>
      </c>
    </row>
    <row r="32" spans="1:27">
      <c r="A32" s="11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168</v>
      </c>
      <c r="B32" s="113">
        <f t="shared" si="46"/>
        <v>10529</v>
      </c>
      <c r="C32" s="118">
        <f t="shared" si="47"/>
        <v>72.83</v>
      </c>
      <c r="D32" s="181" t="s">
        <v>3</v>
      </c>
      <c r="E32" s="182">
        <f>IF(H31="AFIII",VLOOKUP($D32,Sheet1!$A$34:$K$48,5,FALSE),IF(H31="UBIII",VLOOKUP($D32,Sheet1!$A$34:$K$48,8,FALSE),VLOOKUP($D32,Sheet1!$A$34:$K$48,2,FALSE)))</f>
        <v>1.67</v>
      </c>
      <c r="F32" s="182">
        <f>ROUNDDOWN((IF(H31="AFIII",VLOOKUP($D32,Sheet1!$A$34:$K$48,5,FALSE),IF(H31="UBIII",VLOOKUP($D32,Sheet1!$A$34:$K$48,8,FALSE),VLOOKUP($D32,Sheet1!$A$34:$K$48,2,FALSE))))*0.85,2)</f>
        <v>1.41</v>
      </c>
      <c r="G32" s="182">
        <f t="shared" si="48"/>
        <v>2.0299999999999998</v>
      </c>
      <c r="H32" s="183" t="s">
        <v>84</v>
      </c>
      <c r="I32" s="182">
        <v>10</v>
      </c>
      <c r="K32" s="182">
        <f>K31-G32</f>
        <v>17.97</v>
      </c>
      <c r="L32" s="182">
        <f t="shared" si="49"/>
        <v>35.32</v>
      </c>
      <c r="O32" s="182">
        <f>O31-G32</f>
        <v>141.53999999999996</v>
      </c>
      <c r="R32" s="182">
        <f t="shared" si="51"/>
        <v>11.040000000000003</v>
      </c>
      <c r="S32" s="183" t="s">
        <v>87</v>
      </c>
      <c r="T32" s="182">
        <f t="shared" si="58"/>
        <v>23.509999999999998</v>
      </c>
      <c r="U32" s="184">
        <f t="shared" si="59"/>
        <v>83.509999999999991</v>
      </c>
      <c r="V32" s="201">
        <f>IF(H31="AFIII",VLOOKUP(D32,Sheet1!$A$4:$H$18,5,FALSE),IF(H31="UBIII",VLOOKUP(D32,Sheet1!$A$4:$H$18,8,FALSE),IF(H31="",VLOOKUP(D32,Sheet1!$A$4:$H$18,2,FALSE),"0")))</f>
        <v>442</v>
      </c>
      <c r="W32" s="201">
        <f t="shared" si="52"/>
        <v>7033</v>
      </c>
      <c r="X32" s="208">
        <f t="shared" si="53"/>
        <v>10950</v>
      </c>
      <c r="Y32" s="171" t="str">
        <f t="shared" si="54"/>
        <v>SUCCESS</v>
      </c>
      <c r="Z32" s="171" t="str">
        <f t="shared" si="55"/>
        <v>SUCCESS</v>
      </c>
      <c r="AA32" s="185">
        <f t="shared" si="56"/>
        <v>144.56954551695731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504</v>
      </c>
      <c r="B33" s="113">
        <f t="shared" si="46"/>
        <v>11033</v>
      </c>
      <c r="C33" s="118">
        <f t="shared" si="47"/>
        <v>75.260000000000005</v>
      </c>
      <c r="D33" s="181" t="s">
        <v>5</v>
      </c>
      <c r="E33" s="182">
        <f>IF(H32="AFIII",VLOOKUP($D33,Sheet1!$A$34:$K$48,5,FALSE),IF(H32="UBIII",VLOOKUP($D33,Sheet1!$A$34:$K$48,8,FALSE),VLOOKUP($D33,Sheet1!$A$34:$K$48,2,FALSE)))</f>
        <v>2.86</v>
      </c>
      <c r="F33" s="182">
        <f>ROUNDDOWN((IF(H32="AFIII",VLOOKUP($D33,Sheet1!$A$34:$K$48,5,FALSE),IF(H32="UBIII",VLOOKUP($D33,Sheet1!$A$34:$K$48,8,FALSE),VLOOKUP($D33,Sheet1!$A$34:$K$48,2,FALSE))))*0.85,2)</f>
        <v>2.4300000000000002</v>
      </c>
      <c r="G33" s="182">
        <f t="shared" si="48"/>
        <v>2.4300000000000002</v>
      </c>
      <c r="H33" s="183" t="s">
        <v>84</v>
      </c>
      <c r="I33" s="182">
        <f>I32-G33</f>
        <v>7.57</v>
      </c>
      <c r="K33" s="182">
        <f t="shared" ref="K33:K38" si="60">K32-G33</f>
        <v>15.54</v>
      </c>
      <c r="L33" s="182">
        <f t="shared" si="49"/>
        <v>32.89</v>
      </c>
      <c r="O33" s="182">
        <f t="shared" si="50"/>
        <v>139.10999999999996</v>
      </c>
      <c r="R33" s="182">
        <f t="shared" si="51"/>
        <v>8.610000000000003</v>
      </c>
      <c r="S33" s="183" t="s">
        <v>87</v>
      </c>
      <c r="T33" s="182">
        <f t="shared" si="58"/>
        <v>21.08</v>
      </c>
      <c r="U33" s="184">
        <f t="shared" si="59"/>
        <v>81.079999999999984</v>
      </c>
      <c r="V33" s="201">
        <f>IF(H32="AFIII",VLOOKUP(D33,Sheet1!$A$4:$H$18,5,FALSE),IF(H32="UBIII",VLOOKUP(D33,Sheet1!$A$4:$H$18,8,FALSE),IF(H32="",VLOOKUP(D33,Sheet1!$A$4:$H$18,2,FALSE),"0")))</f>
        <v>1768</v>
      </c>
      <c r="W33" s="201">
        <f t="shared" si="52"/>
        <v>0</v>
      </c>
      <c r="X33" s="208">
        <f t="shared" si="53"/>
        <v>9182</v>
      </c>
      <c r="Y33" s="171" t="str">
        <f t="shared" si="54"/>
        <v>SUCCESS</v>
      </c>
      <c r="Z33" s="171" t="str">
        <f t="shared" si="55"/>
        <v>SUCCESS</v>
      </c>
      <c r="AA33" s="185">
        <f t="shared" si="56"/>
        <v>146.59845867658782</v>
      </c>
    </row>
    <row r="34" spans="1:27">
      <c r="A34" s="11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504</v>
      </c>
      <c r="B34" s="113">
        <f t="shared" si="46"/>
        <v>11537</v>
      </c>
      <c r="C34" s="118">
        <f t="shared" si="47"/>
        <v>77.690000000000012</v>
      </c>
      <c r="D34" s="181" t="s">
        <v>5</v>
      </c>
      <c r="E34" s="182">
        <f>IF(H33="AFIII",VLOOKUP($D34,Sheet1!$A$34:$K$48,5,FALSE),IF(H33="UBIII",VLOOKUP($D34,Sheet1!$A$34:$K$48,8,FALSE),VLOOKUP($D34,Sheet1!$A$34:$K$48,2,FALSE)))</f>
        <v>2.86</v>
      </c>
      <c r="F34" s="182">
        <f>ROUNDDOWN((IF(H33="AFIII",VLOOKUP($D34,Sheet1!$A$34:$K$48,5,FALSE),IF(H33="UBIII",VLOOKUP($D34,Sheet1!$A$34:$K$48,8,FALSE),VLOOKUP($D34,Sheet1!$A$34:$K$48,2,FALSE))))*0.85,2)</f>
        <v>2.4300000000000002</v>
      </c>
      <c r="G34" s="182">
        <f t="shared" si="48"/>
        <v>2.4300000000000002</v>
      </c>
      <c r="H34" s="183" t="s">
        <v>84</v>
      </c>
      <c r="I34" s="182">
        <f t="shared" ref="I34" si="61">I33-G34</f>
        <v>5.1400000000000006</v>
      </c>
      <c r="K34" s="182">
        <f t="shared" si="60"/>
        <v>13.11</v>
      </c>
      <c r="L34" s="182">
        <f t="shared" si="49"/>
        <v>30.46</v>
      </c>
      <c r="O34" s="182">
        <f t="shared" si="50"/>
        <v>136.67999999999995</v>
      </c>
      <c r="R34" s="182">
        <f t="shared" si="51"/>
        <v>6.1800000000000033</v>
      </c>
      <c r="S34" s="183" t="s">
        <v>87</v>
      </c>
      <c r="T34" s="182">
        <f t="shared" si="58"/>
        <v>18.649999999999999</v>
      </c>
      <c r="U34" s="184">
        <f t="shared" si="59"/>
        <v>78.649999999999977</v>
      </c>
      <c r="V34" s="201">
        <f>IF(H33="AFIII",VLOOKUP(D34,Sheet1!$A$4:$H$18,5,FALSE),IF(H33="UBIII",VLOOKUP(D34,Sheet1!$A$4:$H$18,8,FALSE),IF(H33="",VLOOKUP(D34,Sheet1!$A$4:$H$18,2,FALSE),"0")))</f>
        <v>1768</v>
      </c>
      <c r="W34" s="201">
        <f t="shared" si="52"/>
        <v>0</v>
      </c>
      <c r="X34" s="208">
        <f t="shared" si="53"/>
        <v>7414</v>
      </c>
      <c r="Y34" s="171" t="str">
        <f t="shared" si="54"/>
        <v>SUCCESS</v>
      </c>
      <c r="Z34" s="171" t="str">
        <f t="shared" si="55"/>
        <v>SUCCESS</v>
      </c>
      <c r="AA34" s="185">
        <f t="shared" si="56"/>
        <v>148.50045050843093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324</v>
      </c>
      <c r="B35" s="113">
        <f t="shared" si="46"/>
        <v>11861</v>
      </c>
      <c r="C35" s="118">
        <f t="shared" si="47"/>
        <v>79.720000000000013</v>
      </c>
      <c r="D35" s="181" t="s">
        <v>1</v>
      </c>
      <c r="E35" s="182">
        <f>IF(H34="AFIII",VLOOKUP($D35,Sheet1!$A$34:$K$48,5,FALSE),IF(H34="UBIII",VLOOKUP($D35,Sheet1!$A$34:$K$48,8,FALSE),VLOOKUP($D35,Sheet1!$A$34:$K$48,2,FALSE)))</f>
        <v>2.39</v>
      </c>
      <c r="F35" s="182">
        <f>ROUNDDOWN((IF(H34="AFIII",VLOOKUP($D35,Sheet1!$A$34:$K$48,5,FALSE),IF(H34="UBIII",VLOOKUP($D35,Sheet1!$A$34:$K$48,8,FALSE),VLOOKUP($D35,Sheet1!$A$34:$K$48,2,FALSE))))*0.85,2)</f>
        <v>2.0299999999999998</v>
      </c>
      <c r="G35" s="182">
        <f t="shared" si="48"/>
        <v>2.0299999999999998</v>
      </c>
      <c r="H35" s="183" t="s">
        <v>84</v>
      </c>
      <c r="I35" s="182">
        <v>10</v>
      </c>
      <c r="K35" s="182">
        <f t="shared" si="60"/>
        <v>11.08</v>
      </c>
      <c r="L35" s="182">
        <f t="shared" si="49"/>
        <v>28.43</v>
      </c>
      <c r="O35" s="182">
        <f t="shared" si="50"/>
        <v>134.64999999999995</v>
      </c>
      <c r="R35" s="182">
        <f>R34-G35</f>
        <v>4.1500000000000039</v>
      </c>
      <c r="S35" s="183" t="s">
        <v>87</v>
      </c>
      <c r="T35" s="182">
        <f t="shared" si="58"/>
        <v>16.619999999999997</v>
      </c>
      <c r="U35" s="184">
        <f t="shared" si="59"/>
        <v>76.619999999999976</v>
      </c>
      <c r="V35" s="201">
        <f>IF(H34="AFIII",VLOOKUP(D35,Sheet1!$A$4:$H$18,5,FALSE),IF(H34="UBIII",VLOOKUP(D35,Sheet1!$A$4:$H$18,8,FALSE),IF(H34="",VLOOKUP(D35,Sheet1!$A$4:$H$18,2,FALSE),"0")))</f>
        <v>2120</v>
      </c>
      <c r="W35" s="201">
        <f t="shared" si="52"/>
        <v>0</v>
      </c>
      <c r="X35" s="208">
        <f t="shared" si="53"/>
        <v>5294</v>
      </c>
      <c r="Y35" s="171" t="str">
        <f t="shared" si="54"/>
        <v>SUCCESS</v>
      </c>
      <c r="Z35" s="171" t="str">
        <f t="shared" si="55"/>
        <v>SUCCESS</v>
      </c>
      <c r="AA35" s="185">
        <f t="shared" si="56"/>
        <v>148.78324134470645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46"/>
        <v>12365</v>
      </c>
      <c r="C36" s="118">
        <f t="shared" si="47"/>
        <v>82.15000000000002</v>
      </c>
      <c r="D36" s="181" t="s">
        <v>6</v>
      </c>
      <c r="E36" s="182">
        <f>IF(H35="AFIII",VLOOKUP($D36,Sheet1!$A$34:$K$48,5,FALSE),IF(H35="UBIII",VLOOKUP($D36,Sheet1!$A$34:$K$48,8,FALSE),VLOOKUP($D36,Sheet1!$A$34:$K$48,2,FALSE)))</f>
        <v>2.86</v>
      </c>
      <c r="F36" s="182">
        <f>ROUNDDOWN((IF(H35="AFIII",VLOOKUP($D36,Sheet1!$A$34:$K$48,5,FALSE),IF(H35="UBIII",VLOOKUP($D36,Sheet1!$A$34:$K$48,8,FALSE),VLOOKUP($D36,Sheet1!$A$34:$K$48,2,FALSE))))*0.85,2)</f>
        <v>2.4300000000000002</v>
      </c>
      <c r="G36" s="182">
        <f t="shared" si="48"/>
        <v>2.4300000000000002</v>
      </c>
      <c r="H36" s="183" t="s">
        <v>84</v>
      </c>
      <c r="I36" s="182">
        <f>I35-G36</f>
        <v>7.57</v>
      </c>
      <c r="K36" s="182">
        <f t="shared" si="60"/>
        <v>8.65</v>
      </c>
      <c r="L36" s="182">
        <f t="shared" si="49"/>
        <v>26</v>
      </c>
      <c r="O36" s="182">
        <f t="shared" si="50"/>
        <v>132.21999999999994</v>
      </c>
      <c r="R36" s="182">
        <f t="shared" ref="R36:R40" si="62">R35-G36</f>
        <v>1.7200000000000037</v>
      </c>
      <c r="S36" s="183" t="s">
        <v>87</v>
      </c>
      <c r="T36" s="182">
        <f t="shared" si="58"/>
        <v>14.189999999999998</v>
      </c>
      <c r="U36" s="184">
        <f t="shared" si="59"/>
        <v>74.189999999999969</v>
      </c>
      <c r="V36" s="201">
        <f>IF(H35="AFIII",VLOOKUP(D36,Sheet1!$A$4:$H$18,5,FALSE),IF(H35="UBIII",VLOOKUP(D36,Sheet1!$A$4:$H$18,8,FALSE),IF(H35="",VLOOKUP(D36,Sheet1!$A$4:$H$18,2,FALSE),"0")))</f>
        <v>1768</v>
      </c>
      <c r="W36" s="201">
        <f t="shared" si="52"/>
        <v>0</v>
      </c>
      <c r="X36" s="208">
        <f t="shared" ref="X36:X99" si="63">IF(D36="フレア",IF(M36="コンバート",$X$1,0),IF(X35-V36+W36&gt;$X$3,$X$3-V36,X35-V36+W36))</f>
        <v>3526</v>
      </c>
      <c r="Y36" s="171" t="str">
        <f t="shared" si="54"/>
        <v>SUCCESS</v>
      </c>
      <c r="Z36" s="171" t="str">
        <f t="shared" si="55"/>
        <v>SUCCESS</v>
      </c>
      <c r="AA36" s="185">
        <f t="shared" si="56"/>
        <v>150.51734631771146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504</v>
      </c>
      <c r="B37" s="113">
        <f t="shared" si="46"/>
        <v>12869</v>
      </c>
      <c r="C37" s="118">
        <f t="shared" si="47"/>
        <v>84.580000000000027</v>
      </c>
      <c r="D37" s="181" t="s">
        <v>6</v>
      </c>
      <c r="E37" s="182">
        <f>IF(H36="AFIII",VLOOKUP($D37,Sheet1!$A$34:$K$48,5,FALSE),IF(H36="UBIII",VLOOKUP($D37,Sheet1!$A$34:$K$48,8,FALSE),VLOOKUP($D37,Sheet1!$A$34:$K$48,2,FALSE)))</f>
        <v>2.86</v>
      </c>
      <c r="F37" s="182">
        <f>ROUNDDOWN((IF(H36="AFIII",VLOOKUP($D37,Sheet1!$A$34:$K$48,5,FALSE),IF(H36="UBIII",VLOOKUP($D37,Sheet1!$A$34:$K$48,8,FALSE),VLOOKUP($D37,Sheet1!$A$34:$K$48,2,FALSE))))*0.85,2)</f>
        <v>2.4300000000000002</v>
      </c>
      <c r="G37" s="182">
        <f t="shared" si="48"/>
        <v>2.4300000000000002</v>
      </c>
      <c r="H37" s="183" t="s">
        <v>84</v>
      </c>
      <c r="I37" s="182">
        <f>I36-G37</f>
        <v>5.1400000000000006</v>
      </c>
      <c r="K37" s="182">
        <f t="shared" si="60"/>
        <v>6.2200000000000006</v>
      </c>
      <c r="L37" s="182">
        <f t="shared" si="49"/>
        <v>23.57</v>
      </c>
      <c r="O37" s="182">
        <f t="shared" si="50"/>
        <v>129.78999999999994</v>
      </c>
      <c r="R37" s="182">
        <f t="shared" si="62"/>
        <v>-0.70999999999999641</v>
      </c>
      <c r="S37" s="183" t="s">
        <v>87</v>
      </c>
      <c r="T37" s="182">
        <f t="shared" si="58"/>
        <v>11.759999999999998</v>
      </c>
      <c r="U37" s="184">
        <f t="shared" si="59"/>
        <v>71.759999999999962</v>
      </c>
      <c r="V37" s="201">
        <f>IF(H36="AFIII",VLOOKUP(D37,Sheet1!$A$4:$H$18,5,FALSE),IF(H36="UBIII",VLOOKUP(D37,Sheet1!$A$4:$H$18,8,FALSE),IF(H36="",VLOOKUP(D37,Sheet1!$A$4:$H$18,2,FALSE),"0")))</f>
        <v>1768</v>
      </c>
      <c r="W37" s="201">
        <f t="shared" si="52"/>
        <v>0</v>
      </c>
      <c r="X37" s="208">
        <f t="shared" si="63"/>
        <v>1758</v>
      </c>
      <c r="Y37" s="171" t="str">
        <f t="shared" si="54"/>
        <v>SUCCESS</v>
      </c>
      <c r="Z37" s="171" t="str">
        <f t="shared" si="55"/>
        <v>SUCCESS</v>
      </c>
      <c r="AA37" s="185">
        <f t="shared" si="56"/>
        <v>152.15180893828324</v>
      </c>
    </row>
    <row r="38" spans="1:27">
      <c r="A38" s="112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168</v>
      </c>
      <c r="B38" s="113">
        <f t="shared" si="46"/>
        <v>13037</v>
      </c>
      <c r="C38" s="118">
        <f t="shared" si="47"/>
        <v>86.610000000000028</v>
      </c>
      <c r="D38" s="181" t="s">
        <v>12</v>
      </c>
      <c r="E38" s="182">
        <f>IF(H37="AFIII",VLOOKUP($D38,Sheet1!$A$34:$K$48,5,FALSE),IF(H37="UBIII",VLOOKUP($D38,Sheet1!$A$34:$K$48,8,FALSE),VLOOKUP($D38,Sheet1!$A$34:$K$48,2,FALSE)))</f>
        <v>1.67</v>
      </c>
      <c r="F38" s="182">
        <f>ROUNDDOWN((IF(H37="AFIII",VLOOKUP($D38,Sheet1!$A$34:$K$48,5,FALSE),IF(H37="UBIII",VLOOKUP($D38,Sheet1!$A$34:$K$48,8,FALSE),VLOOKUP($D38,Sheet1!$A$34:$K$48,2,FALSE))))*0.85,2)</f>
        <v>1.41</v>
      </c>
      <c r="G38" s="182">
        <f t="shared" si="48"/>
        <v>2.0299999999999998</v>
      </c>
      <c r="H38" s="183" t="s">
        <v>122</v>
      </c>
      <c r="I38" s="182">
        <v>10</v>
      </c>
      <c r="K38" s="182">
        <f t="shared" si="60"/>
        <v>4.1900000000000013</v>
      </c>
      <c r="L38" s="182">
        <f t="shared" si="49"/>
        <v>21.54</v>
      </c>
      <c r="O38" s="182">
        <f>O37-G38</f>
        <v>127.75999999999993</v>
      </c>
      <c r="R38" s="182">
        <f t="shared" si="62"/>
        <v>-2.7399999999999962</v>
      </c>
      <c r="S38" s="183" t="s">
        <v>87</v>
      </c>
      <c r="T38" s="182">
        <f t="shared" si="58"/>
        <v>9.7299999999999986</v>
      </c>
      <c r="U38" s="184">
        <f t="shared" si="59"/>
        <v>69.729999999999961</v>
      </c>
      <c r="V38" s="201">
        <f>IF(H37="AFIII",VLOOKUP(D38,Sheet1!$A$4:$H$18,5,FALSE),IF(H37="UBIII",VLOOKUP(D38,Sheet1!$A$4:$H$18,8,FALSE),IF(H37="",VLOOKUP(D38,Sheet1!$A$4:$H$18,2,FALSE),"0")))</f>
        <v>265</v>
      </c>
      <c r="W38" s="201">
        <f t="shared" si="52"/>
        <v>0</v>
      </c>
      <c r="X38" s="208">
        <f t="shared" si="63"/>
        <v>1493</v>
      </c>
      <c r="Y38" s="171" t="str">
        <f t="shared" si="54"/>
        <v>SUCCESS</v>
      </c>
      <c r="Z38" s="171" t="str">
        <f t="shared" si="55"/>
        <v>SUCCESS</v>
      </c>
      <c r="AA38" s="185">
        <f t="shared" si="56"/>
        <v>150.52534349382285</v>
      </c>
    </row>
    <row r="39" spans="1:27">
      <c r="A39" s="119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280</v>
      </c>
      <c r="B39" s="120">
        <f t="shared" si="46"/>
        <v>13317</v>
      </c>
      <c r="C39" s="121">
        <f t="shared" si="47"/>
        <v>89.040000000000035</v>
      </c>
      <c r="D39" s="191" t="s">
        <v>14</v>
      </c>
      <c r="E39" s="192">
        <f>IF(H38="AFIII",VLOOKUP($D39,Sheet1!$A$34:$K$48,5,FALSE),IF(H38="UBIII",VLOOKUP($D39,Sheet1!$A$34:$K$48,8,FALSE),VLOOKUP($D39,Sheet1!$A$34:$K$48,2,FALSE)))</f>
        <v>2.86</v>
      </c>
      <c r="F39" s="192">
        <f>ROUNDDOWN((IF(H38="AFIII",VLOOKUP($D39,Sheet1!$A$34:$K$48,5,FALSE),IF(H38="UBIII",VLOOKUP($D39,Sheet1!$A$34:$K$48,8,FALSE),VLOOKUP($D39,Sheet1!$A$34:$K$48,2,FALSE))))*0.85,2)</f>
        <v>2.4300000000000002</v>
      </c>
      <c r="G39" s="192">
        <f t="shared" si="48"/>
        <v>2.4300000000000002</v>
      </c>
      <c r="H39" s="193" t="s">
        <v>122</v>
      </c>
      <c r="I39" s="192">
        <f>I38-G39</f>
        <v>7.57</v>
      </c>
      <c r="J39" s="193"/>
      <c r="K39" s="192">
        <v>15</v>
      </c>
      <c r="L39" s="192">
        <f t="shared" si="49"/>
        <v>19.11</v>
      </c>
      <c r="M39" s="193"/>
      <c r="N39" s="192"/>
      <c r="O39" s="192">
        <f t="shared" ref="O39:O41" si="64">O38-G39</f>
        <v>125.32999999999993</v>
      </c>
      <c r="P39" s="193"/>
      <c r="Q39" s="192"/>
      <c r="R39" s="192">
        <f t="shared" si="62"/>
        <v>-5.1699999999999964</v>
      </c>
      <c r="S39" s="193" t="s">
        <v>87</v>
      </c>
      <c r="T39" s="192">
        <f t="shared" si="58"/>
        <v>7.2999999999999989</v>
      </c>
      <c r="U39" s="194">
        <f t="shared" si="59"/>
        <v>67.299999999999955</v>
      </c>
      <c r="V39" s="211">
        <f>IF(H38="AFIII",VLOOKUP(D39,Sheet1!$A$4:$H$18,5,FALSE),IF(H38="UBIII",VLOOKUP(D39,Sheet1!$A$4:$H$18,8,FALSE),IF(H38="",VLOOKUP(D39,Sheet1!$A$4:$H$18,2,FALSE),"0")))</f>
        <v>884</v>
      </c>
      <c r="W39" s="211">
        <f t="shared" si="52"/>
        <v>7033</v>
      </c>
      <c r="X39" s="212">
        <f t="shared" si="63"/>
        <v>7642</v>
      </c>
      <c r="Y39" s="195" t="str">
        <f t="shared" si="54"/>
        <v>SUCCESS</v>
      </c>
      <c r="Z39" s="195" t="str">
        <f t="shared" si="55"/>
        <v>SUCCESS</v>
      </c>
      <c r="AA39" s="185">
        <f t="shared" si="56"/>
        <v>149.56199460916437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168</v>
      </c>
      <c r="B40" s="113">
        <f t="shared" si="46"/>
        <v>13485</v>
      </c>
      <c r="C40" s="118">
        <f t="shared" si="47"/>
        <v>91.070000000000036</v>
      </c>
      <c r="D40" s="181" t="s">
        <v>4</v>
      </c>
      <c r="E40" s="182">
        <f>IF(H39="AFIII",VLOOKUP($D40,Sheet1!$A$34:$K$48,5,FALSE),IF(H39="UBIII",VLOOKUP($D40,Sheet1!$A$34:$K$48,8,FALSE),VLOOKUP($D40,Sheet1!$A$34:$K$48,2,FALSE)))</f>
        <v>1.67</v>
      </c>
      <c r="F40" s="182">
        <f>ROUNDDOWN((IF(H39="AFIII",VLOOKUP($D40,Sheet1!$A$34:$K$48,5,FALSE),IF(H39="UBIII",VLOOKUP($D40,Sheet1!$A$34:$K$48,8,FALSE),VLOOKUP($D40,Sheet1!$A$34:$K$48,2,FALSE))))*0.85,2)</f>
        <v>1.41</v>
      </c>
      <c r="G40" s="182">
        <f t="shared" si="48"/>
        <v>2.0299999999999998</v>
      </c>
      <c r="H40" s="183" t="s">
        <v>84</v>
      </c>
      <c r="I40" s="182">
        <v>10</v>
      </c>
      <c r="K40" s="182">
        <f t="shared" ref="K40:K48" si="65">K39-G40</f>
        <v>12.97</v>
      </c>
      <c r="L40" s="182">
        <f t="shared" si="49"/>
        <v>17.079999999999998</v>
      </c>
      <c r="M40" s="183" t="s">
        <v>135</v>
      </c>
      <c r="O40" s="182">
        <f t="shared" si="64"/>
        <v>123.29999999999993</v>
      </c>
      <c r="R40" s="182">
        <f t="shared" si="62"/>
        <v>-7.1999999999999957</v>
      </c>
      <c r="S40" s="183" t="s">
        <v>87</v>
      </c>
      <c r="T40" s="182">
        <f t="shared" si="58"/>
        <v>5.27</v>
      </c>
      <c r="U40" s="184">
        <f t="shared" si="59"/>
        <v>65.269999999999953</v>
      </c>
      <c r="V40" s="201">
        <f>IF(H39="AFIII",VLOOKUP(D40,Sheet1!$A$4:$H$18,5,FALSE),IF(H39="UBIII",VLOOKUP(D40,Sheet1!$A$4:$H$18,8,FALSE),IF(H39="",VLOOKUP(D40,Sheet1!$A$4:$H$18,2,FALSE),"0")))</f>
        <v>442</v>
      </c>
      <c r="W40" s="201">
        <f t="shared" si="52"/>
        <v>7033</v>
      </c>
      <c r="X40" s="208">
        <f t="shared" si="63"/>
        <v>10950</v>
      </c>
      <c r="Y40" s="171" t="str">
        <f t="shared" si="54"/>
        <v>SUCCESS</v>
      </c>
      <c r="Z40" s="171" t="str">
        <f t="shared" si="55"/>
        <v>SUCCESS</v>
      </c>
      <c r="AA40" s="185">
        <f t="shared" si="56"/>
        <v>148.07291094762266</v>
      </c>
    </row>
    <row r="41" spans="1:27">
      <c r="A41" s="112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504</v>
      </c>
      <c r="B41" s="113">
        <f t="shared" si="46"/>
        <v>13989</v>
      </c>
      <c r="C41" s="118">
        <f t="shared" si="47"/>
        <v>93.500000000000043</v>
      </c>
      <c r="D41" s="181" t="s">
        <v>6</v>
      </c>
      <c r="E41" s="182">
        <f>IF(H40="AFIII",VLOOKUP($D41,Sheet1!$A$34:$K$48,5,FALSE),IF(H40="UBIII",VLOOKUP($D41,Sheet1!$A$34:$K$48,8,FALSE),VLOOKUP($D41,Sheet1!$A$34:$K$48,2,FALSE)))</f>
        <v>2.86</v>
      </c>
      <c r="F41" s="182">
        <f>ROUNDDOWN((IF(H40="AFIII",VLOOKUP($D41,Sheet1!$A$34:$K$48,5,FALSE),IF(H40="UBIII",VLOOKUP($D41,Sheet1!$A$34:$K$48,8,FALSE),VLOOKUP($D41,Sheet1!$A$34:$K$48,2,FALSE))))*0.85,2)</f>
        <v>2.4300000000000002</v>
      </c>
      <c r="G41" s="182">
        <f t="shared" si="48"/>
        <v>2.4300000000000002</v>
      </c>
      <c r="H41" s="183" t="s">
        <v>84</v>
      </c>
      <c r="I41" s="182">
        <f>I40-G41</f>
        <v>7.57</v>
      </c>
      <c r="K41" s="182">
        <f t="shared" si="65"/>
        <v>10.540000000000001</v>
      </c>
      <c r="L41" s="182">
        <f t="shared" si="49"/>
        <v>14.649999999999999</v>
      </c>
      <c r="O41" s="182">
        <f t="shared" si="64"/>
        <v>120.86999999999992</v>
      </c>
      <c r="P41" s="183" t="s">
        <v>136</v>
      </c>
      <c r="R41" s="182">
        <f>R40-G41</f>
        <v>-9.6299999999999955</v>
      </c>
      <c r="S41" s="183" t="s">
        <v>52</v>
      </c>
      <c r="T41" s="182">
        <f t="shared" si="58"/>
        <v>2.8399999999999994</v>
      </c>
      <c r="U41" s="184">
        <f t="shared" si="59"/>
        <v>62.839999999999954</v>
      </c>
      <c r="V41" s="201">
        <f>IF(H40="AFIII",VLOOKUP(D41,Sheet1!$A$4:$H$18,5,FALSE),IF(H40="UBIII",VLOOKUP(D41,Sheet1!$A$4:$H$18,8,FALSE),IF(H40="",VLOOKUP(D41,Sheet1!$A$4:$H$18,2,FALSE),"0")))</f>
        <v>1768</v>
      </c>
      <c r="W41" s="201">
        <f t="shared" si="52"/>
        <v>0</v>
      </c>
      <c r="X41" s="208">
        <f t="shared" si="63"/>
        <v>9182</v>
      </c>
      <c r="Y41" s="171" t="str">
        <f t="shared" si="54"/>
        <v>SUCCESS</v>
      </c>
      <c r="Z41" s="171" t="str">
        <f t="shared" si="55"/>
        <v>SUCCESS</v>
      </c>
      <c r="AA41" s="185">
        <f t="shared" si="56"/>
        <v>149.61497326203201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504</v>
      </c>
      <c r="B42" s="113">
        <f t="shared" si="46"/>
        <v>14493</v>
      </c>
      <c r="C42" s="118">
        <f t="shared" si="47"/>
        <v>95.930000000000049</v>
      </c>
      <c r="D42" s="181" t="s">
        <v>6</v>
      </c>
      <c r="E42" s="182">
        <f>IF(H41="AFIII",VLOOKUP($D42,Sheet1!$A$34:$K$48,5,FALSE),IF(H41="UBIII",VLOOKUP($D42,Sheet1!$A$34:$K$48,8,FALSE),VLOOKUP($D42,Sheet1!$A$34:$K$48,2,FALSE)))</f>
        <v>2.86</v>
      </c>
      <c r="F42" s="182">
        <f>ROUNDDOWN((IF(H41="AFIII",VLOOKUP($D42,Sheet1!$A$34:$K$48,5,FALSE),IF(H41="UBIII",VLOOKUP($D42,Sheet1!$A$34:$K$48,8,FALSE),VLOOKUP($D42,Sheet1!$A$34:$K$48,2,FALSE))))*0.85,2)</f>
        <v>2.4300000000000002</v>
      </c>
      <c r="G42" s="182">
        <f t="shared" si="48"/>
        <v>2.4300000000000002</v>
      </c>
      <c r="H42" s="183" t="s">
        <v>84</v>
      </c>
      <c r="I42" s="182">
        <f>I41-G42</f>
        <v>5.1400000000000006</v>
      </c>
      <c r="K42" s="182">
        <f t="shared" si="65"/>
        <v>8.1100000000000012</v>
      </c>
      <c r="L42" s="182">
        <f t="shared" si="49"/>
        <v>12.219999999999999</v>
      </c>
      <c r="R42" s="182">
        <f>R41-G42</f>
        <v>-12.059999999999995</v>
      </c>
      <c r="S42" s="183" t="s">
        <v>52</v>
      </c>
      <c r="T42" s="182">
        <f t="shared" si="58"/>
        <v>0.40999999999999925</v>
      </c>
      <c r="U42" s="184">
        <f t="shared" si="59"/>
        <v>60.409999999999954</v>
      </c>
      <c r="V42" s="201">
        <f>IF(H41="AFIII",VLOOKUP(D42,Sheet1!$A$4:$H$18,5,FALSE),IF(H41="UBIII",VLOOKUP(D42,Sheet1!$A$4:$H$18,8,FALSE),IF(H41="",VLOOKUP(D42,Sheet1!$A$4:$H$18,2,FALSE),"0")))</f>
        <v>1768</v>
      </c>
      <c r="W42" s="201">
        <f t="shared" si="52"/>
        <v>0</v>
      </c>
      <c r="X42" s="208">
        <f t="shared" si="63"/>
        <v>7414</v>
      </c>
      <c r="Y42" s="171" t="str">
        <f t="shared" si="54"/>
        <v>SUCCESS</v>
      </c>
      <c r="Z42" s="171" t="str">
        <f t="shared" si="55"/>
        <v>SUCCESS</v>
      </c>
      <c r="AA42" s="185">
        <f t="shared" si="56"/>
        <v>151.07891170645254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324</v>
      </c>
      <c r="B43" s="113">
        <f t="shared" si="46"/>
        <v>14817</v>
      </c>
      <c r="C43" s="118">
        <f t="shared" si="47"/>
        <v>97.960000000000051</v>
      </c>
      <c r="D43" s="181" t="s">
        <v>1</v>
      </c>
      <c r="E43" s="182">
        <f>IF(H42="AFIII",VLOOKUP($D43,Sheet1!$A$34:$K$48,5,FALSE),IF(H42="UBIII",VLOOKUP($D43,Sheet1!$A$34:$K$48,8,FALSE),VLOOKUP($D43,Sheet1!$A$34:$K$48,2,FALSE)))</f>
        <v>2.39</v>
      </c>
      <c r="F43" s="182">
        <f>ROUNDDOWN((IF(H42="AFIII",VLOOKUP($D43,Sheet1!$A$34:$K$48,5,FALSE),IF(H42="UBIII",VLOOKUP($D43,Sheet1!$A$34:$K$48,8,FALSE),VLOOKUP($D43,Sheet1!$A$34:$K$48,2,FALSE))))*0.85,2)</f>
        <v>2.0299999999999998</v>
      </c>
      <c r="G43" s="182">
        <f t="shared" si="48"/>
        <v>2.0299999999999998</v>
      </c>
      <c r="H43" s="183" t="s">
        <v>84</v>
      </c>
      <c r="I43" s="182">
        <v>10</v>
      </c>
      <c r="K43" s="182">
        <f t="shared" si="65"/>
        <v>6.0800000000000018</v>
      </c>
      <c r="L43" s="182">
        <f t="shared" si="49"/>
        <v>10.19</v>
      </c>
      <c r="T43" s="182">
        <f t="shared" si="58"/>
        <v>-1.6200000000000006</v>
      </c>
      <c r="U43" s="184">
        <f t="shared" si="59"/>
        <v>58.379999999999953</v>
      </c>
      <c r="V43" s="201">
        <f>IF(H42="AFIII",VLOOKUP(D43,Sheet1!$A$4:$H$18,5,FALSE),IF(H42="UBIII",VLOOKUP(D43,Sheet1!$A$4:$H$18,8,FALSE),IF(H42="",VLOOKUP(D43,Sheet1!$A$4:$H$18,2,FALSE),"0")))</f>
        <v>2120</v>
      </c>
      <c r="W43" s="201">
        <f t="shared" si="52"/>
        <v>0</v>
      </c>
      <c r="X43" s="208">
        <f t="shared" si="63"/>
        <v>5294</v>
      </c>
      <c r="Y43" s="171" t="str">
        <f t="shared" si="54"/>
        <v>SUCCESS</v>
      </c>
      <c r="Z43" s="171" t="str">
        <f t="shared" si="55"/>
        <v>SUCCESS</v>
      </c>
      <c r="AA43" s="185">
        <f t="shared" si="56"/>
        <v>151.25561453654544</v>
      </c>
    </row>
    <row r="44" spans="1:27">
      <c r="A44" s="112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46"/>
        <v>15321</v>
      </c>
      <c r="C44" s="118">
        <f t="shared" si="47"/>
        <v>100.82000000000005</v>
      </c>
      <c r="D44" s="181" t="s">
        <v>6</v>
      </c>
      <c r="E44" s="182">
        <f>IF(H43="AFIII",VLOOKUP($D44,Sheet1!$A$34:$K$48,5,FALSE),IF(H43="UBIII",VLOOKUP($D44,Sheet1!$A$34:$K$48,8,FALSE),VLOOKUP($D44,Sheet1!$A$34:$K$48,2,FALSE)))</f>
        <v>2.86</v>
      </c>
      <c r="F44" s="182">
        <f>ROUNDDOWN((IF(H43="AFIII",VLOOKUP($D44,Sheet1!$A$34:$K$48,5,FALSE),IF(H43="UBIII",VLOOKUP($D44,Sheet1!$A$34:$K$48,8,FALSE),VLOOKUP($D44,Sheet1!$A$34:$K$48,2,FALSE))))*0.85,2)</f>
        <v>2.4300000000000002</v>
      </c>
      <c r="G44" s="182">
        <f t="shared" si="48"/>
        <v>2.86</v>
      </c>
      <c r="H44" s="183" t="s">
        <v>84</v>
      </c>
      <c r="I44" s="182">
        <f>I43-G44</f>
        <v>7.1400000000000006</v>
      </c>
      <c r="K44" s="182">
        <f t="shared" si="65"/>
        <v>3.220000000000002</v>
      </c>
      <c r="L44" s="182">
        <f t="shared" si="49"/>
        <v>7.33</v>
      </c>
      <c r="M44" s="183" t="s">
        <v>102</v>
      </c>
      <c r="O44" s="182">
        <v>60</v>
      </c>
      <c r="U44" s="184">
        <f t="shared" si="59"/>
        <v>55.519999999999953</v>
      </c>
      <c r="V44" s="201">
        <f>IF(H43="AFIII",VLOOKUP(D44,Sheet1!$A$4:$H$18,5,FALSE),IF(H43="UBIII",VLOOKUP(D44,Sheet1!$A$4:$H$18,8,FALSE),IF(H43="",VLOOKUP(D44,Sheet1!$A$4:$H$18,2,FALSE),"0")))</f>
        <v>1768</v>
      </c>
      <c r="W44" s="201">
        <f t="shared" si="52"/>
        <v>0</v>
      </c>
      <c r="X44" s="208">
        <f t="shared" si="63"/>
        <v>3526</v>
      </c>
      <c r="Y44" s="171" t="str">
        <f t="shared" si="54"/>
        <v>SUCCESS</v>
      </c>
      <c r="Z44" s="171" t="str">
        <f t="shared" si="55"/>
        <v>SUCCESS</v>
      </c>
      <c r="AA44" s="185">
        <f t="shared" si="56"/>
        <v>151.96389605237047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504</v>
      </c>
      <c r="B45" s="113">
        <f t="shared" si="46"/>
        <v>15825</v>
      </c>
      <c r="C45" s="118">
        <f t="shared" si="47"/>
        <v>103.21000000000005</v>
      </c>
      <c r="D45" s="181" t="s">
        <v>6</v>
      </c>
      <c r="E45" s="182">
        <f>IF(H44="AFIII",VLOOKUP($D45,Sheet1!$A$34:$K$48,5,FALSE),IF(H44="UBIII",VLOOKUP($D45,Sheet1!$A$34:$K$48,8,FALSE),VLOOKUP($D45,Sheet1!$A$34:$K$48,2,FALSE)))</f>
        <v>2.86</v>
      </c>
      <c r="F45" s="182">
        <f>ROUNDDOWN((IF(H44="AFIII",VLOOKUP($D45,Sheet1!$A$34:$K$48,5,FALSE),IF(H44="UBIII",VLOOKUP($D45,Sheet1!$A$34:$K$48,8,FALSE),VLOOKUP($D45,Sheet1!$A$34:$K$48,2,FALSE))))*0.85,2)</f>
        <v>2.4300000000000002</v>
      </c>
      <c r="G45" s="182">
        <f t="shared" si="48"/>
        <v>2.39</v>
      </c>
      <c r="H45" s="183" t="s">
        <v>84</v>
      </c>
      <c r="I45" s="182">
        <f t="shared" ref="I45" si="66">I44-G45</f>
        <v>4.75</v>
      </c>
      <c r="K45" s="182">
        <f t="shared" si="65"/>
        <v>0.83000000000000185</v>
      </c>
      <c r="L45" s="182">
        <f t="shared" si="49"/>
        <v>4.9399999999999995</v>
      </c>
      <c r="O45" s="182">
        <f>O44-G45</f>
        <v>57.61</v>
      </c>
      <c r="U45" s="184">
        <f t="shared" si="59"/>
        <v>53.129999999999953</v>
      </c>
      <c r="V45" s="201">
        <f>IF(H44="AFIII",VLOOKUP(D45,Sheet1!$A$4:$H$18,5,FALSE),IF(H44="UBIII",VLOOKUP(D45,Sheet1!$A$4:$H$18,8,FALSE),IF(H44="",VLOOKUP(D45,Sheet1!$A$4:$H$18,2,FALSE),"0")))</f>
        <v>1768</v>
      </c>
      <c r="W45" s="201">
        <f t="shared" si="52"/>
        <v>0</v>
      </c>
      <c r="X45" s="208">
        <f t="shared" si="63"/>
        <v>1758</v>
      </c>
      <c r="Y45" s="171" t="str">
        <f t="shared" si="54"/>
        <v>SUCCESS</v>
      </c>
      <c r="Z45" s="171" t="str">
        <f t="shared" si="55"/>
        <v>SUCCESS</v>
      </c>
      <c r="AA45" s="185">
        <f t="shared" si="56"/>
        <v>153.32816587539961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432</v>
      </c>
      <c r="B46" s="113">
        <f t="shared" si="46"/>
        <v>16257</v>
      </c>
      <c r="C46" s="118">
        <f t="shared" si="47"/>
        <v>105.60000000000005</v>
      </c>
      <c r="D46" s="181" t="s">
        <v>129</v>
      </c>
      <c r="E46" s="182">
        <f>IF(H45="AFIII",VLOOKUP($D46,Sheet1!$A$34:$K$48,5,FALSE),IF(H45="UBIII",VLOOKUP($D46,Sheet1!$A$34:$K$48,8,FALSE),VLOOKUP($D46,Sheet1!$A$34:$K$48,2,FALSE)))</f>
        <v>2.39</v>
      </c>
      <c r="F46" s="182">
        <f>ROUNDDOWN((IF(H45="AFIII",VLOOKUP($D46,Sheet1!$A$34:$K$48,5,FALSE),IF(H45="UBIII",VLOOKUP($D46,Sheet1!$A$34:$K$48,8,FALSE),VLOOKUP($D46,Sheet1!$A$34:$K$48,2,FALSE))))*0.85,2)</f>
        <v>2.0299999999999998</v>
      </c>
      <c r="G46" s="182">
        <f t="shared" si="48"/>
        <v>2.39</v>
      </c>
      <c r="H46" s="183" t="s">
        <v>84</v>
      </c>
      <c r="I46" s="182">
        <v>10</v>
      </c>
      <c r="K46" s="182">
        <f t="shared" si="65"/>
        <v>-1.5599999999999983</v>
      </c>
      <c r="L46" s="182">
        <f t="shared" si="49"/>
        <v>2.5499999999999994</v>
      </c>
      <c r="O46" s="182">
        <f t="shared" ref="O46:O61" si="67">O45-G46</f>
        <v>55.22</v>
      </c>
      <c r="U46" s="184">
        <f t="shared" si="59"/>
        <v>50.739999999999952</v>
      </c>
      <c r="V46" s="201">
        <f>IF(H45="AFIII",VLOOKUP(D46,Sheet1!$A$4:$H$18,5,FALSE),IF(H45="UBIII",VLOOKUP(D46,Sheet1!$A$4:$H$18,8,FALSE),IF(H45="",VLOOKUP(D46,Sheet1!$A$4:$H$18,2,FALSE),"0")))</f>
        <v>0</v>
      </c>
      <c r="W46" s="201">
        <f t="shared" si="52"/>
        <v>0</v>
      </c>
      <c r="X46" s="208">
        <f t="shared" si="63"/>
        <v>1758</v>
      </c>
      <c r="Y46" s="171" t="str">
        <f t="shared" si="54"/>
        <v>SUCCESS</v>
      </c>
      <c r="Z46" s="171" t="str">
        <f t="shared" si="55"/>
        <v>ERROR</v>
      </c>
      <c r="AA46" s="185">
        <f t="shared" si="56"/>
        <v>153.94886363636357</v>
      </c>
    </row>
    <row r="47" spans="1:27">
      <c r="A47" s="11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168</v>
      </c>
      <c r="B47" s="113">
        <f t="shared" si="46"/>
        <v>16425</v>
      </c>
      <c r="C47" s="118">
        <f t="shared" si="47"/>
        <v>107.99000000000005</v>
      </c>
      <c r="D47" s="181" t="s">
        <v>12</v>
      </c>
      <c r="E47" s="182">
        <f>IF(H46="AFIII",VLOOKUP($D47,Sheet1!$A$34:$K$48,5,FALSE),IF(H46="UBIII",VLOOKUP($D47,Sheet1!$A$34:$K$48,8,FALSE),VLOOKUP($D47,Sheet1!$A$34:$K$48,2,FALSE)))</f>
        <v>1.67</v>
      </c>
      <c r="F47" s="182">
        <f>ROUNDDOWN((IF(H46="AFIII",VLOOKUP($D47,Sheet1!$A$34:$K$48,5,FALSE),IF(H46="UBIII",VLOOKUP($D47,Sheet1!$A$34:$K$48,8,FALSE),VLOOKUP($D47,Sheet1!$A$34:$K$48,2,FALSE))))*0.85,2)</f>
        <v>1.41</v>
      </c>
      <c r="G47" s="182">
        <f t="shared" si="48"/>
        <v>2.39</v>
      </c>
      <c r="H47" s="183" t="s">
        <v>122</v>
      </c>
      <c r="I47" s="182">
        <v>10</v>
      </c>
      <c r="K47" s="182">
        <f t="shared" si="65"/>
        <v>-3.9499999999999984</v>
      </c>
      <c r="L47" s="182">
        <f t="shared" si="49"/>
        <v>0.15999999999999925</v>
      </c>
      <c r="O47" s="182">
        <f t="shared" si="67"/>
        <v>52.83</v>
      </c>
      <c r="U47" s="184">
        <f t="shared" si="59"/>
        <v>48.349999999999952</v>
      </c>
      <c r="V47" s="201">
        <f>IF(H46="AFIII",VLOOKUP(D47,Sheet1!$A$4:$H$18,5,FALSE),IF(H46="UBIII",VLOOKUP(D47,Sheet1!$A$4:$H$18,8,FALSE),IF(H46="",VLOOKUP(D47,Sheet1!$A$4:$H$18,2,FALSE),"0")))</f>
        <v>265</v>
      </c>
      <c r="W47" s="201">
        <f t="shared" si="52"/>
        <v>0</v>
      </c>
      <c r="X47" s="208">
        <f t="shared" si="63"/>
        <v>1493</v>
      </c>
      <c r="Y47" s="171" t="str">
        <f t="shared" si="54"/>
        <v>SUCCESS</v>
      </c>
      <c r="Z47" s="171" t="str">
        <f t="shared" si="55"/>
        <v>ERROR</v>
      </c>
      <c r="AA47" s="185">
        <f t="shared" si="56"/>
        <v>152.09741642744692</v>
      </c>
    </row>
    <row r="48" spans="1:27">
      <c r="A48" s="12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295</v>
      </c>
      <c r="B48" s="123">
        <f t="shared" si="46"/>
        <v>16720</v>
      </c>
      <c r="C48" s="124">
        <f>C47+G48</f>
        <v>110.85000000000005</v>
      </c>
      <c r="D48" s="186" t="s">
        <v>19</v>
      </c>
      <c r="E48" s="187">
        <f>IF(H47="AFIII",VLOOKUP($D48,Sheet1!$A$34:$K$48,5,FALSE),IF(H47="UBIII",VLOOKUP($D48,Sheet1!$A$34:$K$48,8,FALSE),VLOOKUP($D48,Sheet1!$A$34:$K$48,2,FALSE)))</f>
        <v>2.86</v>
      </c>
      <c r="F48" s="187">
        <f>ROUNDDOWN((IF(H47="AFIII",VLOOKUP($D48,Sheet1!$A$34:$K$48,5,FALSE),IF(H47="UBIII",VLOOKUP($D48,Sheet1!$A$34:$K$48,8,FALSE),VLOOKUP($D48,Sheet1!$A$34:$K$48,2,FALSE))))*0.85,2)</f>
        <v>2.4300000000000002</v>
      </c>
      <c r="G48" s="187">
        <f t="shared" si="48"/>
        <v>2.86</v>
      </c>
      <c r="H48" s="188" t="s">
        <v>122</v>
      </c>
      <c r="I48" s="187">
        <f>I47-G48</f>
        <v>7.1400000000000006</v>
      </c>
      <c r="J48" s="188" t="s">
        <v>138</v>
      </c>
      <c r="K48" s="187">
        <f t="shared" si="65"/>
        <v>-6.8099999999999987</v>
      </c>
      <c r="L48" s="187">
        <f t="shared" si="49"/>
        <v>-2.7000000000000006</v>
      </c>
      <c r="M48" s="188"/>
      <c r="N48" s="187"/>
      <c r="O48" s="187">
        <f t="shared" si="67"/>
        <v>49.97</v>
      </c>
      <c r="P48" s="188" t="s">
        <v>17</v>
      </c>
      <c r="Q48" s="187">
        <v>21</v>
      </c>
      <c r="R48" s="187"/>
      <c r="S48" s="188"/>
      <c r="T48" s="187"/>
      <c r="U48" s="189">
        <f t="shared" si="59"/>
        <v>45.489999999999952</v>
      </c>
      <c r="V48" s="209">
        <f>IF(H47="AFIII",VLOOKUP(D48,Sheet1!$A$4:$H$18,5,FALSE),IF(H47="UBIII",VLOOKUP(D48,Sheet1!$A$4:$H$18,8,FALSE),IF(H47="",VLOOKUP(D48,Sheet1!$A$4:$H$18,2,FALSE),"0")))</f>
        <v>1060</v>
      </c>
      <c r="W48" s="209">
        <f t="shared" si="52"/>
        <v>7033</v>
      </c>
      <c r="X48" s="210">
        <f t="shared" si="63"/>
        <v>7466</v>
      </c>
      <c r="Y48" s="190" t="str">
        <f t="shared" si="54"/>
        <v>SUCCESS</v>
      </c>
      <c r="Z48" s="190" t="str">
        <f t="shared" si="55"/>
        <v>ERROR</v>
      </c>
      <c r="AA48" s="185">
        <f t="shared" si="56"/>
        <v>150.83446098331072</v>
      </c>
    </row>
    <row r="49" spans="1:27">
      <c r="A49" s="112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168</v>
      </c>
      <c r="B49" s="113">
        <f t="shared" si="46"/>
        <v>16888</v>
      </c>
      <c r="C49" s="118">
        <f>C48+G49</f>
        <v>113.24000000000005</v>
      </c>
      <c r="D49" s="181" t="s">
        <v>4</v>
      </c>
      <c r="E49" s="182">
        <f>IF(H48="AFIII",VLOOKUP($D49,Sheet1!$A$34:$K$48,5,FALSE),IF(H48="UBIII",VLOOKUP($D49,Sheet1!$A$34:$K$48,8,FALSE),VLOOKUP($D49,Sheet1!$A$34:$K$48,2,FALSE)))</f>
        <v>1.67</v>
      </c>
      <c r="F49" s="182">
        <f>ROUNDDOWN((IF(H48="AFIII",VLOOKUP($D49,Sheet1!$A$34:$K$48,5,FALSE),IF(H48="UBIII",VLOOKUP($D49,Sheet1!$A$34:$K$48,8,FALSE),VLOOKUP($D49,Sheet1!$A$34:$K$48,2,FALSE))))*0.85,2)</f>
        <v>1.41</v>
      </c>
      <c r="G49" s="182">
        <f t="shared" si="48"/>
        <v>2.39</v>
      </c>
      <c r="H49" s="183" t="s">
        <v>84</v>
      </c>
      <c r="I49" s="182">
        <v>10</v>
      </c>
      <c r="J49" s="183" t="s">
        <v>105</v>
      </c>
      <c r="K49" s="182">
        <v>30</v>
      </c>
      <c r="L49" s="182">
        <v>90</v>
      </c>
      <c r="O49" s="182">
        <f t="shared" si="67"/>
        <v>47.58</v>
      </c>
      <c r="Q49" s="182">
        <f t="shared" ref="Q49:Q56" si="68">Q48-G49</f>
        <v>18.61</v>
      </c>
      <c r="U49" s="184">
        <f t="shared" si="59"/>
        <v>43.099999999999952</v>
      </c>
      <c r="V49" s="201">
        <f>IF(H48="AFIII",VLOOKUP(D49,Sheet1!$A$4:$H$18,5,FALSE),IF(H48="UBIII",VLOOKUP(D49,Sheet1!$A$4:$H$18,8,FALSE),IF(H48="",VLOOKUP(D49,Sheet1!$A$4:$H$18,2,FALSE),"0")))</f>
        <v>442</v>
      </c>
      <c r="W49" s="201">
        <f t="shared" si="52"/>
        <v>7033</v>
      </c>
      <c r="X49" s="208">
        <f t="shared" si="63"/>
        <v>10950</v>
      </c>
      <c r="Y49" s="171" t="str">
        <f t="shared" si="54"/>
        <v>SUCCESS</v>
      </c>
      <c r="Z49" s="171" t="str">
        <f t="shared" si="55"/>
        <v>ERROR</v>
      </c>
      <c r="AA49" s="185">
        <f t="shared" si="56"/>
        <v>149.13458141999286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504</v>
      </c>
      <c r="B50" s="113">
        <f t="shared" si="46"/>
        <v>17392</v>
      </c>
      <c r="C50" s="118">
        <f>C49+G50</f>
        <v>116.10000000000005</v>
      </c>
      <c r="D50" s="181" t="s">
        <v>6</v>
      </c>
      <c r="E50" s="182">
        <f>IF(H49="AFIII",VLOOKUP($D50,Sheet1!$A$34:$K$48,5,FALSE),IF(H49="UBIII",VLOOKUP($D50,Sheet1!$A$34:$K$48,8,FALSE),VLOOKUP($D50,Sheet1!$A$34:$K$48,2,FALSE)))</f>
        <v>2.86</v>
      </c>
      <c r="F50" s="182">
        <f>ROUNDDOWN((IF(H49="AFIII",VLOOKUP($D50,Sheet1!$A$34:$K$48,5,FALSE),IF(H49="UBIII",VLOOKUP($D50,Sheet1!$A$34:$K$48,8,FALSE),VLOOKUP($D50,Sheet1!$A$34:$K$48,2,FALSE))))*0.85,2)</f>
        <v>2.4300000000000002</v>
      </c>
      <c r="G50" s="182">
        <f t="shared" si="48"/>
        <v>2.86</v>
      </c>
      <c r="H50" s="183" t="s">
        <v>84</v>
      </c>
      <c r="I50" s="182">
        <f>I49-G50</f>
        <v>7.1400000000000006</v>
      </c>
      <c r="K50" s="182">
        <f>K49-G50</f>
        <v>27.14</v>
      </c>
      <c r="L50" s="182">
        <f>L49-G50</f>
        <v>87.14</v>
      </c>
      <c r="O50" s="182">
        <f t="shared" si="67"/>
        <v>44.72</v>
      </c>
      <c r="Q50" s="182">
        <f t="shared" si="68"/>
        <v>15.75</v>
      </c>
      <c r="U50" s="184">
        <f t="shared" si="59"/>
        <v>40.239999999999952</v>
      </c>
      <c r="V50" s="201">
        <f>IF(H49="AFIII",VLOOKUP(D50,Sheet1!$A$4:$H$18,5,FALSE),IF(H49="UBIII",VLOOKUP(D50,Sheet1!$A$4:$H$18,8,FALSE),IF(H49="",VLOOKUP(D50,Sheet1!$A$4:$H$18,2,FALSE),"0")))</f>
        <v>1768</v>
      </c>
      <c r="W50" s="201">
        <f t="shared" si="52"/>
        <v>0</v>
      </c>
      <c r="X50" s="208">
        <f t="shared" si="63"/>
        <v>9182</v>
      </c>
      <c r="Y50" s="171" t="str">
        <f t="shared" si="54"/>
        <v>SUCCESS</v>
      </c>
      <c r="Z50" s="171" t="str">
        <f t="shared" si="55"/>
        <v>SUCCESS</v>
      </c>
      <c r="AA50" s="185">
        <f t="shared" si="56"/>
        <v>149.80189491817393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504</v>
      </c>
      <c r="B51" s="113">
        <f t="shared" si="46"/>
        <v>17896</v>
      </c>
      <c r="C51" s="118">
        <f>C50+G51</f>
        <v>118.96000000000005</v>
      </c>
      <c r="D51" s="181" t="s">
        <v>6</v>
      </c>
      <c r="E51" s="182">
        <f>IF(H50="AFIII",VLOOKUP($D51,Sheet1!$A$34:$K$48,5,FALSE),IF(H50="UBIII",VLOOKUP($D51,Sheet1!$A$34:$K$48,8,FALSE),VLOOKUP($D51,Sheet1!$A$34:$K$48,2,FALSE)))</f>
        <v>2.86</v>
      </c>
      <c r="F51" s="182">
        <f>ROUNDDOWN((IF(H50="AFIII",VLOOKUP($D51,Sheet1!$A$34:$K$48,5,FALSE),IF(H50="UBIII",VLOOKUP($D51,Sheet1!$A$34:$K$48,8,FALSE),VLOOKUP($D51,Sheet1!$A$34:$K$48,2,FALSE))))*0.85,2)</f>
        <v>2.4300000000000002</v>
      </c>
      <c r="G51" s="182">
        <f t="shared" si="48"/>
        <v>2.86</v>
      </c>
      <c r="H51" s="183" t="s">
        <v>84</v>
      </c>
      <c r="I51" s="182">
        <f>I50-G51</f>
        <v>4.2800000000000011</v>
      </c>
      <c r="K51" s="182">
        <f t="shared" ref="K51:K57" si="69">K50-G51</f>
        <v>24.28</v>
      </c>
      <c r="L51" s="182">
        <f t="shared" ref="L51:L88" si="70">L50-G51</f>
        <v>84.28</v>
      </c>
      <c r="O51" s="182">
        <f t="shared" si="67"/>
        <v>41.86</v>
      </c>
      <c r="P51" s="183" t="s">
        <v>131</v>
      </c>
      <c r="Q51" s="182">
        <f t="shared" si="68"/>
        <v>12.89</v>
      </c>
      <c r="R51" s="182">
        <v>60</v>
      </c>
      <c r="U51" s="184">
        <f t="shared" si="59"/>
        <v>37.379999999999953</v>
      </c>
      <c r="V51" s="201">
        <f>IF(H50="AFIII",VLOOKUP(D51,Sheet1!$A$4:$H$18,5,FALSE),IF(H50="UBIII",VLOOKUP(D51,Sheet1!$A$4:$H$18,8,FALSE),IF(H50="",VLOOKUP(D51,Sheet1!$A$4:$H$18,2,FALSE),"0")))</f>
        <v>1768</v>
      </c>
      <c r="W51" s="201">
        <f t="shared" si="52"/>
        <v>0</v>
      </c>
      <c r="X51" s="208">
        <f t="shared" si="63"/>
        <v>7414</v>
      </c>
      <c r="Y51" s="171" t="str">
        <f t="shared" si="54"/>
        <v>SUCCESS</v>
      </c>
      <c r="Z51" s="171" t="str">
        <f t="shared" si="55"/>
        <v>SUCCESS</v>
      </c>
      <c r="AA51" s="185">
        <f t="shared" si="56"/>
        <v>150.43712172158703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324</v>
      </c>
      <c r="B52" s="113">
        <f t="shared" si="46"/>
        <v>18220</v>
      </c>
      <c r="C52" s="118">
        <f t="shared" ref="C52:C98" si="71">C51+G52</f>
        <v>121.35000000000005</v>
      </c>
      <c r="D52" s="181" t="s">
        <v>1</v>
      </c>
      <c r="E52" s="182">
        <f>IF(H51="AFIII",VLOOKUP($D52,Sheet1!$A$34:$K$48,5,FALSE),IF(H51="UBIII",VLOOKUP($D52,Sheet1!$A$34:$K$48,8,FALSE),VLOOKUP($D52,Sheet1!$A$34:$K$48,2,FALSE)))</f>
        <v>2.39</v>
      </c>
      <c r="F52" s="182">
        <f>ROUNDDOWN((IF(H51="AFIII",VLOOKUP($D52,Sheet1!$A$34:$K$48,5,FALSE),IF(H51="UBIII",VLOOKUP($D52,Sheet1!$A$34:$K$48,8,FALSE),VLOOKUP($D52,Sheet1!$A$34:$K$48,2,FALSE))))*0.85,2)</f>
        <v>2.0299999999999998</v>
      </c>
      <c r="G52" s="182">
        <f t="shared" si="48"/>
        <v>2.39</v>
      </c>
      <c r="H52" s="183" t="s">
        <v>84</v>
      </c>
      <c r="I52" s="182">
        <v>10</v>
      </c>
      <c r="K52" s="182">
        <f t="shared" si="69"/>
        <v>21.89</v>
      </c>
      <c r="L52" s="182">
        <f t="shared" si="70"/>
        <v>81.89</v>
      </c>
      <c r="O52" s="182">
        <f t="shared" si="67"/>
        <v>39.47</v>
      </c>
      <c r="Q52" s="182">
        <f t="shared" si="68"/>
        <v>10.5</v>
      </c>
      <c r="R52" s="182">
        <f>R51-G52</f>
        <v>57.61</v>
      </c>
      <c r="U52" s="184">
        <f t="shared" si="59"/>
        <v>34.989999999999952</v>
      </c>
      <c r="V52" s="201">
        <f>IF(H51="AFIII",VLOOKUP(D52,Sheet1!$A$4:$H$18,5,FALSE),IF(H51="UBIII",VLOOKUP(D52,Sheet1!$A$4:$H$18,8,FALSE),IF(H51="",VLOOKUP(D52,Sheet1!$A$4:$H$18,2,FALSE),"0")))</f>
        <v>2120</v>
      </c>
      <c r="W52" s="201">
        <f t="shared" si="52"/>
        <v>0</v>
      </c>
      <c r="X52" s="208">
        <f t="shared" si="63"/>
        <v>5294</v>
      </c>
      <c r="Y52" s="171" t="str">
        <f t="shared" si="54"/>
        <v>SUCCESS</v>
      </c>
      <c r="Z52" s="171" t="str">
        <f t="shared" si="55"/>
        <v>SUCCESS</v>
      </c>
      <c r="AA52" s="185">
        <f t="shared" si="56"/>
        <v>150.14421096003289</v>
      </c>
    </row>
    <row r="53" spans="1:27">
      <c r="A53" s="112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432</v>
      </c>
      <c r="B53" s="113">
        <f t="shared" si="46"/>
        <v>18652</v>
      </c>
      <c r="C53" s="118">
        <f t="shared" si="71"/>
        <v>123.74000000000005</v>
      </c>
      <c r="D53" s="181" t="s">
        <v>129</v>
      </c>
      <c r="E53" s="182">
        <f>IF(H52="AFIII",VLOOKUP($D53,Sheet1!$A$34:$K$48,5,FALSE),IF(H52="UBIII",VLOOKUP($D53,Sheet1!$A$34:$K$48,8,FALSE),VLOOKUP($D53,Sheet1!$A$34:$K$48,2,FALSE)))</f>
        <v>2.39</v>
      </c>
      <c r="F53" s="182">
        <f>ROUNDDOWN((IF(H52="AFIII",VLOOKUP($D53,Sheet1!$A$34:$K$48,5,FALSE),IF(H52="UBIII",VLOOKUP($D53,Sheet1!$A$34:$K$48,8,FALSE),VLOOKUP($D53,Sheet1!$A$34:$K$48,2,FALSE))))*0.85,2)</f>
        <v>2.0299999999999998</v>
      </c>
      <c r="G53" s="182">
        <f t="shared" si="48"/>
        <v>2.39</v>
      </c>
      <c r="H53" s="183" t="s">
        <v>84</v>
      </c>
      <c r="I53" s="182">
        <v>10</v>
      </c>
      <c r="K53" s="182">
        <f t="shared" si="69"/>
        <v>19.5</v>
      </c>
      <c r="L53" s="182">
        <f t="shared" si="70"/>
        <v>79.5</v>
      </c>
      <c r="O53" s="182">
        <f t="shared" si="67"/>
        <v>37.08</v>
      </c>
      <c r="Q53" s="182">
        <f t="shared" si="68"/>
        <v>8.11</v>
      </c>
      <c r="R53" s="182">
        <f t="shared" ref="R53:R71" si="72">R52-G53</f>
        <v>55.22</v>
      </c>
      <c r="U53" s="184">
        <f t="shared" si="59"/>
        <v>32.599999999999952</v>
      </c>
      <c r="V53" s="201">
        <f>IF(H52="AFIII",VLOOKUP(D53,Sheet1!$A$4:$H$18,5,FALSE),IF(H52="UBIII",VLOOKUP(D53,Sheet1!$A$4:$H$18,8,FALSE),IF(H52="",VLOOKUP(D53,Sheet1!$A$4:$H$18,2,FALSE),"0")))</f>
        <v>0</v>
      </c>
      <c r="W53" s="201">
        <f t="shared" si="52"/>
        <v>0</v>
      </c>
      <c r="X53" s="208">
        <f t="shared" si="63"/>
        <v>5294</v>
      </c>
      <c r="Y53" s="171" t="str">
        <f t="shared" si="54"/>
        <v>SUCCESS</v>
      </c>
      <c r="Z53" s="171" t="str">
        <f t="shared" si="55"/>
        <v>SUCCESS</v>
      </c>
      <c r="AA53" s="185">
        <f t="shared" si="56"/>
        <v>150.73541296266359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504</v>
      </c>
      <c r="B54" s="113">
        <f t="shared" si="46"/>
        <v>19156</v>
      </c>
      <c r="C54" s="118">
        <f t="shared" si="71"/>
        <v>126.60000000000005</v>
      </c>
      <c r="D54" s="181" t="s">
        <v>6</v>
      </c>
      <c r="E54" s="182">
        <f>IF(H53="AFIII",VLOOKUP($D54,Sheet1!$A$34:$K$48,5,FALSE),IF(H53="UBIII",VLOOKUP($D54,Sheet1!$A$34:$K$48,8,FALSE),VLOOKUP($D54,Sheet1!$A$34:$K$48,2,FALSE)))</f>
        <v>2.86</v>
      </c>
      <c r="F54" s="182">
        <f>ROUNDDOWN((IF(H53="AFIII",VLOOKUP($D54,Sheet1!$A$34:$K$48,5,FALSE),IF(H53="UBIII",VLOOKUP($D54,Sheet1!$A$34:$K$48,8,FALSE),VLOOKUP($D54,Sheet1!$A$34:$K$48,2,FALSE))))*0.85,2)</f>
        <v>2.4300000000000002</v>
      </c>
      <c r="G54" s="182">
        <f t="shared" si="48"/>
        <v>2.86</v>
      </c>
      <c r="H54" s="183" t="s">
        <v>84</v>
      </c>
      <c r="I54" s="182">
        <f>I53-G54</f>
        <v>7.1400000000000006</v>
      </c>
      <c r="K54" s="182">
        <f t="shared" si="69"/>
        <v>16.64</v>
      </c>
      <c r="L54" s="182">
        <f t="shared" si="70"/>
        <v>76.64</v>
      </c>
      <c r="O54" s="182">
        <f t="shared" si="67"/>
        <v>34.22</v>
      </c>
      <c r="Q54" s="182">
        <f t="shared" si="68"/>
        <v>5.25</v>
      </c>
      <c r="R54" s="182">
        <f t="shared" si="72"/>
        <v>52.36</v>
      </c>
      <c r="U54" s="184">
        <f t="shared" si="59"/>
        <v>29.739999999999952</v>
      </c>
      <c r="V54" s="201">
        <f>IF(H53="AFIII",VLOOKUP(D54,Sheet1!$A$4:$H$18,5,FALSE),IF(H53="UBIII",VLOOKUP(D54,Sheet1!$A$4:$H$18,8,FALSE),IF(H53="",VLOOKUP(D54,Sheet1!$A$4:$H$18,2,FALSE),"0")))</f>
        <v>1768</v>
      </c>
      <c r="W54" s="201">
        <f t="shared" si="52"/>
        <v>0</v>
      </c>
      <c r="X54" s="208">
        <f t="shared" si="63"/>
        <v>3526</v>
      </c>
      <c r="Y54" s="171" t="str">
        <f t="shared" si="54"/>
        <v>SUCCESS</v>
      </c>
      <c r="Z54" s="171" t="str">
        <f t="shared" si="55"/>
        <v>SUCCESS</v>
      </c>
      <c r="AA54" s="185">
        <f t="shared" si="56"/>
        <v>151.31121642969978</v>
      </c>
    </row>
    <row r="55" spans="1:27">
      <c r="A55" s="112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504</v>
      </c>
      <c r="B55" s="113">
        <f t="shared" si="46"/>
        <v>19660</v>
      </c>
      <c r="C55" s="118">
        <f t="shared" si="71"/>
        <v>129.46000000000006</v>
      </c>
      <c r="D55" s="181" t="s">
        <v>6</v>
      </c>
      <c r="E55" s="182">
        <f>IF(H54="AFIII",VLOOKUP($D55,Sheet1!$A$34:$K$48,5,FALSE),IF(H54="UBIII",VLOOKUP($D55,Sheet1!$A$34:$K$48,8,FALSE),VLOOKUP($D55,Sheet1!$A$34:$K$48,2,FALSE)))</f>
        <v>2.86</v>
      </c>
      <c r="F55" s="182">
        <f>ROUNDDOWN((IF(H54="AFIII",VLOOKUP($D55,Sheet1!$A$34:$K$48,5,FALSE),IF(H54="UBIII",VLOOKUP($D55,Sheet1!$A$34:$K$48,8,FALSE),VLOOKUP($D55,Sheet1!$A$34:$K$48,2,FALSE))))*0.85,2)</f>
        <v>2.4300000000000002</v>
      </c>
      <c r="G55" s="182">
        <f t="shared" si="48"/>
        <v>2.86</v>
      </c>
      <c r="H55" s="183" t="s">
        <v>84</v>
      </c>
      <c r="I55" s="182">
        <f>I54-G55</f>
        <v>4.2800000000000011</v>
      </c>
      <c r="K55" s="182">
        <f t="shared" si="69"/>
        <v>13.780000000000001</v>
      </c>
      <c r="L55" s="182">
        <f t="shared" si="70"/>
        <v>73.78</v>
      </c>
      <c r="O55" s="182">
        <f t="shared" si="67"/>
        <v>31.36</v>
      </c>
      <c r="Q55" s="182">
        <f t="shared" si="68"/>
        <v>2.39</v>
      </c>
      <c r="R55" s="182">
        <f t="shared" si="72"/>
        <v>49.5</v>
      </c>
      <c r="U55" s="184">
        <f t="shared" si="59"/>
        <v>26.879999999999953</v>
      </c>
      <c r="V55" s="201">
        <f>IF(H54="AFIII",VLOOKUP(D55,Sheet1!$A$4:$H$18,5,FALSE),IF(H54="UBIII",VLOOKUP(D55,Sheet1!$A$4:$H$18,8,FALSE),IF(H54="",VLOOKUP(D55,Sheet1!$A$4:$H$18,2,FALSE),"0")))</f>
        <v>1768</v>
      </c>
      <c r="W55" s="201">
        <f t="shared" si="52"/>
        <v>0</v>
      </c>
      <c r="X55" s="208">
        <f t="shared" si="63"/>
        <v>1758</v>
      </c>
      <c r="Y55" s="171" t="str">
        <f t="shared" si="54"/>
        <v>SUCCESS</v>
      </c>
      <c r="Z55" s="171" t="str">
        <f t="shared" si="55"/>
        <v>SUCCESS</v>
      </c>
      <c r="AA55" s="185">
        <f t="shared" si="56"/>
        <v>151.86157886605895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168</v>
      </c>
      <c r="B56" s="113">
        <f t="shared" si="46"/>
        <v>19828</v>
      </c>
      <c r="C56" s="118">
        <f t="shared" si="71"/>
        <v>131.85000000000005</v>
      </c>
      <c r="D56" s="181" t="s">
        <v>12</v>
      </c>
      <c r="E56" s="182">
        <f>IF(H55="AFIII",VLOOKUP($D56,Sheet1!$A$34:$K$48,5,FALSE),IF(H55="UBIII",VLOOKUP($D56,Sheet1!$A$34:$K$48,8,FALSE),VLOOKUP($D56,Sheet1!$A$34:$K$48,2,FALSE)))</f>
        <v>1.67</v>
      </c>
      <c r="F56" s="182">
        <f>ROUNDDOWN((IF(H55="AFIII",VLOOKUP($D56,Sheet1!$A$34:$K$48,5,FALSE),IF(H55="UBIII",VLOOKUP($D56,Sheet1!$A$34:$K$48,8,FALSE),VLOOKUP($D56,Sheet1!$A$34:$K$48,2,FALSE))))*0.85,2)</f>
        <v>1.41</v>
      </c>
      <c r="G56" s="182">
        <f t="shared" si="48"/>
        <v>2.39</v>
      </c>
      <c r="H56" s="183" t="s">
        <v>122</v>
      </c>
      <c r="I56" s="182">
        <v>10</v>
      </c>
      <c r="K56" s="182">
        <f t="shared" si="69"/>
        <v>11.39</v>
      </c>
      <c r="L56" s="182">
        <f t="shared" si="70"/>
        <v>71.39</v>
      </c>
      <c r="O56" s="182">
        <f t="shared" si="67"/>
        <v>28.97</v>
      </c>
      <c r="Q56" s="182">
        <f t="shared" si="68"/>
        <v>0</v>
      </c>
      <c r="R56" s="182">
        <f t="shared" si="72"/>
        <v>47.11</v>
      </c>
      <c r="U56" s="184">
        <f t="shared" si="59"/>
        <v>24.489999999999952</v>
      </c>
      <c r="V56" s="201">
        <f>IF(H55="AFIII",VLOOKUP(D56,Sheet1!$A$4:$H$18,5,FALSE),IF(H55="UBIII",VLOOKUP(D56,Sheet1!$A$4:$H$18,8,FALSE),IF(H55="",VLOOKUP(D56,Sheet1!$A$4:$H$18,2,FALSE),"0")))</f>
        <v>265</v>
      </c>
      <c r="W56" s="201">
        <f t="shared" si="52"/>
        <v>0</v>
      </c>
      <c r="X56" s="208">
        <f t="shared" si="63"/>
        <v>1493</v>
      </c>
      <c r="Y56" s="171" t="str">
        <f t="shared" si="54"/>
        <v>SUCCESS</v>
      </c>
      <c r="Z56" s="171" t="str">
        <f t="shared" si="55"/>
        <v>SUCCESS</v>
      </c>
      <c r="AA56" s="185">
        <f t="shared" si="56"/>
        <v>150.38301099734542</v>
      </c>
    </row>
    <row r="57" spans="1:27">
      <c r="A57" s="112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295</v>
      </c>
      <c r="B57" s="113">
        <f t="shared" si="46"/>
        <v>20123</v>
      </c>
      <c r="C57" s="118">
        <f t="shared" si="71"/>
        <v>134.71000000000006</v>
      </c>
      <c r="D57" s="181" t="s">
        <v>19</v>
      </c>
      <c r="E57" s="182">
        <f>IF(H56="AFIII",VLOOKUP($D57,Sheet1!$A$34:$K$48,5,FALSE),IF(H56="UBIII",VLOOKUP($D57,Sheet1!$A$34:$K$48,8,FALSE),VLOOKUP($D57,Sheet1!$A$34:$K$48,2,FALSE)))</f>
        <v>2.86</v>
      </c>
      <c r="F57" s="182">
        <f>ROUNDDOWN((IF(H56="AFIII",VLOOKUP($D57,Sheet1!$A$34:$K$48,5,FALSE),IF(H56="UBIII",VLOOKUP($D57,Sheet1!$A$34:$K$48,8,FALSE),VLOOKUP($D57,Sheet1!$A$34:$K$48,2,FALSE))))*0.85,2)</f>
        <v>2.4300000000000002</v>
      </c>
      <c r="G57" s="182">
        <f t="shared" si="48"/>
        <v>2.86</v>
      </c>
      <c r="H57" s="183" t="s">
        <v>122</v>
      </c>
      <c r="I57" s="182">
        <f>I56-G57</f>
        <v>7.1400000000000006</v>
      </c>
      <c r="K57" s="182">
        <f t="shared" si="69"/>
        <v>8.5300000000000011</v>
      </c>
      <c r="L57" s="182">
        <f t="shared" si="70"/>
        <v>68.53</v>
      </c>
      <c r="O57" s="182">
        <f t="shared" si="67"/>
        <v>26.11</v>
      </c>
      <c r="P57" s="183" t="s">
        <v>17</v>
      </c>
      <c r="Q57" s="182">
        <v>21</v>
      </c>
      <c r="R57" s="182">
        <f t="shared" si="72"/>
        <v>44.25</v>
      </c>
      <c r="U57" s="184">
        <f t="shared" si="59"/>
        <v>21.629999999999953</v>
      </c>
      <c r="V57" s="201">
        <f>IF(H56="AFIII",VLOOKUP(D57,Sheet1!$A$4:$H$18,5,FALSE),IF(H56="UBIII",VLOOKUP(D57,Sheet1!$A$4:$H$18,8,FALSE),IF(H56="",VLOOKUP(D57,Sheet1!$A$4:$H$18,2,FALSE),"0")))</f>
        <v>1060</v>
      </c>
      <c r="W57" s="201">
        <f t="shared" si="52"/>
        <v>7033</v>
      </c>
      <c r="X57" s="208">
        <f t="shared" si="63"/>
        <v>7466</v>
      </c>
      <c r="Y57" s="171" t="str">
        <f t="shared" si="54"/>
        <v>SUCCESS</v>
      </c>
      <c r="Z57" s="171" t="str">
        <f t="shared" si="55"/>
        <v>SUCCESS</v>
      </c>
      <c r="AA57" s="185">
        <f t="shared" si="56"/>
        <v>149.38014995174814</v>
      </c>
    </row>
    <row r="58" spans="1:27">
      <c r="A58" s="119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280</v>
      </c>
      <c r="B58" s="120">
        <f t="shared" si="46"/>
        <v>20403</v>
      </c>
      <c r="C58" s="121">
        <f t="shared" si="71"/>
        <v>137.57000000000008</v>
      </c>
      <c r="D58" s="191" t="s">
        <v>14</v>
      </c>
      <c r="E58" s="192">
        <f>IF(H57="AFIII",VLOOKUP($D58,Sheet1!$A$34:$K$48,5,FALSE),IF(H57="UBIII",VLOOKUP($D58,Sheet1!$A$34:$K$48,8,FALSE),VLOOKUP($D58,Sheet1!$A$34:$K$48,2,FALSE)))</f>
        <v>2.86</v>
      </c>
      <c r="F58" s="192">
        <f>ROUNDDOWN((IF(H57="AFIII",VLOOKUP($D58,Sheet1!$A$34:$K$48,5,FALSE),IF(H57="UBIII",VLOOKUP($D58,Sheet1!$A$34:$K$48,8,FALSE),VLOOKUP($D58,Sheet1!$A$34:$K$48,2,FALSE))))*0.85,2)</f>
        <v>2.4300000000000002</v>
      </c>
      <c r="G58" s="192">
        <f t="shared" si="48"/>
        <v>2.86</v>
      </c>
      <c r="H58" s="193" t="s">
        <v>122</v>
      </c>
      <c r="I58" s="192">
        <f>I57-G58</f>
        <v>4.2800000000000011</v>
      </c>
      <c r="J58" s="193"/>
      <c r="K58" s="192">
        <v>25</v>
      </c>
      <c r="L58" s="192">
        <f t="shared" si="70"/>
        <v>65.67</v>
      </c>
      <c r="M58" s="193"/>
      <c r="N58" s="192"/>
      <c r="O58" s="192">
        <f t="shared" si="67"/>
        <v>23.25</v>
      </c>
      <c r="P58" s="193"/>
      <c r="Q58" s="192">
        <f>Q57-G58</f>
        <v>18.14</v>
      </c>
      <c r="R58" s="192">
        <f t="shared" si="72"/>
        <v>41.39</v>
      </c>
      <c r="S58" s="193"/>
      <c r="T58" s="192"/>
      <c r="U58" s="194">
        <f t="shared" si="59"/>
        <v>18.769999999999953</v>
      </c>
      <c r="V58" s="211">
        <f>IF(H57="AFIII",VLOOKUP(D58,Sheet1!$A$4:$H$18,5,FALSE),IF(H57="UBIII",VLOOKUP(D58,Sheet1!$A$4:$H$18,8,FALSE),IF(H57="",VLOOKUP(D58,Sheet1!$A$4:$H$18,2,FALSE),"0")))</f>
        <v>884</v>
      </c>
      <c r="W58" s="211">
        <f t="shared" si="52"/>
        <v>7033</v>
      </c>
      <c r="X58" s="212">
        <f t="shared" si="63"/>
        <v>10508</v>
      </c>
      <c r="Y58" s="195" t="str">
        <f t="shared" si="54"/>
        <v>SUCCESS</v>
      </c>
      <c r="Z58" s="195" t="str">
        <f t="shared" si="55"/>
        <v>SUCCESS</v>
      </c>
      <c r="AA58" s="185">
        <f t="shared" si="56"/>
        <v>148.30995129752117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168</v>
      </c>
      <c r="B59" s="113">
        <f t="shared" si="46"/>
        <v>20571</v>
      </c>
      <c r="C59" s="118">
        <f t="shared" si="71"/>
        <v>139.96000000000006</v>
      </c>
      <c r="D59" s="181" t="s">
        <v>4</v>
      </c>
      <c r="E59" s="182">
        <f>IF(H58="AFIII",VLOOKUP($D59,Sheet1!$A$34:$K$48,5,FALSE),IF(H58="UBIII",VLOOKUP($D59,Sheet1!$A$34:$K$48,8,FALSE),VLOOKUP($D59,Sheet1!$A$34:$K$48,2,FALSE)))</f>
        <v>1.67</v>
      </c>
      <c r="F59" s="182">
        <f>ROUNDDOWN((IF(H58="AFIII",VLOOKUP($D59,Sheet1!$A$34:$K$48,5,FALSE),IF(H58="UBIII",VLOOKUP($D59,Sheet1!$A$34:$K$48,8,FALSE),VLOOKUP($D59,Sheet1!$A$34:$K$48,2,FALSE))))*0.85,2)</f>
        <v>1.41</v>
      </c>
      <c r="G59" s="182">
        <f t="shared" si="48"/>
        <v>2.39</v>
      </c>
      <c r="H59" s="183" t="s">
        <v>84</v>
      </c>
      <c r="I59" s="182">
        <v>10</v>
      </c>
      <c r="K59" s="182">
        <f t="shared" ref="K59:K62" si="73">K58-G59</f>
        <v>22.61</v>
      </c>
      <c r="L59" s="182">
        <f t="shared" si="70"/>
        <v>63.28</v>
      </c>
      <c r="O59" s="182">
        <f t="shared" si="67"/>
        <v>20.86</v>
      </c>
      <c r="Q59" s="182">
        <f t="shared" ref="Q59:Q65" si="74">Q58-G59</f>
        <v>15.75</v>
      </c>
      <c r="R59" s="182">
        <f t="shared" si="72"/>
        <v>39</v>
      </c>
      <c r="U59" s="184">
        <f t="shared" si="59"/>
        <v>16.379999999999953</v>
      </c>
      <c r="V59" s="201">
        <f>IF(H58="AFIII",VLOOKUP(D59,Sheet1!$A$4:$H$18,5,FALSE),IF(H58="UBIII",VLOOKUP(D59,Sheet1!$A$4:$H$18,8,FALSE),IF(H58="",VLOOKUP(D59,Sheet1!$A$4:$H$18,2,FALSE),"0")))</f>
        <v>442</v>
      </c>
      <c r="W59" s="201">
        <f t="shared" si="52"/>
        <v>7033</v>
      </c>
      <c r="X59" s="208">
        <f t="shared" si="63"/>
        <v>10950</v>
      </c>
      <c r="Y59" s="171" t="str">
        <f t="shared" si="54"/>
        <v>SUCCESS</v>
      </c>
      <c r="Z59" s="171" t="str">
        <f t="shared" si="55"/>
        <v>SUCCESS</v>
      </c>
      <c r="AA59" s="185">
        <f t="shared" si="56"/>
        <v>146.97770791654753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504</v>
      </c>
      <c r="B60" s="113">
        <f t="shared" si="46"/>
        <v>21075</v>
      </c>
      <c r="C60" s="118">
        <f t="shared" si="71"/>
        <v>142.82000000000008</v>
      </c>
      <c r="D60" s="181" t="s">
        <v>6</v>
      </c>
      <c r="E60" s="182">
        <f>IF(H59="AFIII",VLOOKUP($D60,Sheet1!$A$34:$K$48,5,FALSE),IF(H59="UBIII",VLOOKUP($D60,Sheet1!$A$34:$K$48,8,FALSE),VLOOKUP($D60,Sheet1!$A$34:$K$48,2,FALSE)))</f>
        <v>2.86</v>
      </c>
      <c r="F60" s="182">
        <f>ROUNDDOWN((IF(H59="AFIII",VLOOKUP($D60,Sheet1!$A$34:$K$48,5,FALSE),IF(H59="UBIII",VLOOKUP($D60,Sheet1!$A$34:$K$48,8,FALSE),VLOOKUP($D60,Sheet1!$A$34:$K$48,2,FALSE))))*0.85,2)</f>
        <v>2.4300000000000002</v>
      </c>
      <c r="G60" s="182">
        <f t="shared" si="48"/>
        <v>2.86</v>
      </c>
      <c r="H60" s="183" t="s">
        <v>84</v>
      </c>
      <c r="I60" s="182">
        <f>I59-G60</f>
        <v>7.1400000000000006</v>
      </c>
      <c r="K60" s="182">
        <f t="shared" si="73"/>
        <v>19.75</v>
      </c>
      <c r="L60" s="182">
        <f t="shared" si="70"/>
        <v>60.42</v>
      </c>
      <c r="O60" s="182">
        <f t="shared" si="67"/>
        <v>18</v>
      </c>
      <c r="Q60" s="182">
        <f t="shared" si="74"/>
        <v>12.89</v>
      </c>
      <c r="R60" s="182">
        <f t="shared" si="72"/>
        <v>36.14</v>
      </c>
      <c r="U60" s="184">
        <f t="shared" si="59"/>
        <v>13.519999999999953</v>
      </c>
      <c r="V60" s="201">
        <f>IF(H59="AFIII",VLOOKUP(D60,Sheet1!$A$4:$H$18,5,FALSE),IF(H59="UBIII",VLOOKUP(D60,Sheet1!$A$4:$H$18,8,FALSE),IF(H59="",VLOOKUP(D60,Sheet1!$A$4:$H$18,2,FALSE),"0")))</f>
        <v>1768</v>
      </c>
      <c r="W60" s="201">
        <f t="shared" si="52"/>
        <v>0</v>
      </c>
      <c r="X60" s="208">
        <f t="shared" si="63"/>
        <v>9182</v>
      </c>
      <c r="Y60" s="171" t="str">
        <f t="shared" si="54"/>
        <v>SUCCESS</v>
      </c>
      <c r="Z60" s="171" t="str">
        <f t="shared" si="55"/>
        <v>SUCCESS</v>
      </c>
      <c r="AA60" s="185">
        <f t="shared" si="56"/>
        <v>147.56336647528349</v>
      </c>
    </row>
    <row r="61" spans="1:27">
      <c r="A61" s="11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504</v>
      </c>
      <c r="B61" s="113">
        <f t="shared" si="46"/>
        <v>21579</v>
      </c>
      <c r="C61" s="118">
        <f t="shared" si="71"/>
        <v>145.68000000000009</v>
      </c>
      <c r="D61" s="181" t="s">
        <v>6</v>
      </c>
      <c r="E61" s="182">
        <f>IF(H60="AFIII",VLOOKUP($D61,Sheet1!$A$34:$K$48,5,FALSE),IF(H60="UBIII",VLOOKUP($D61,Sheet1!$A$34:$K$48,8,FALSE),VLOOKUP($D61,Sheet1!$A$34:$K$48,2,FALSE)))</f>
        <v>2.86</v>
      </c>
      <c r="F61" s="182">
        <f>ROUNDDOWN((IF(H60="AFIII",VLOOKUP($D61,Sheet1!$A$34:$K$48,5,FALSE),IF(H60="UBIII",VLOOKUP($D61,Sheet1!$A$34:$K$48,8,FALSE),VLOOKUP($D61,Sheet1!$A$34:$K$48,2,FALSE))))*0.85,2)</f>
        <v>2.4300000000000002</v>
      </c>
      <c r="G61" s="182">
        <f t="shared" si="48"/>
        <v>2.86</v>
      </c>
      <c r="H61" s="183" t="s">
        <v>84</v>
      </c>
      <c r="I61" s="182">
        <f t="shared" ref="I61" si="75">I60-G61</f>
        <v>4.2800000000000011</v>
      </c>
      <c r="K61" s="182">
        <f t="shared" si="73"/>
        <v>16.89</v>
      </c>
      <c r="L61" s="182">
        <f t="shared" si="70"/>
        <v>57.56</v>
      </c>
      <c r="O61" s="182">
        <f t="shared" si="67"/>
        <v>15.14</v>
      </c>
      <c r="Q61" s="182">
        <f t="shared" si="74"/>
        <v>10.030000000000001</v>
      </c>
      <c r="R61" s="182">
        <f t="shared" si="72"/>
        <v>33.28</v>
      </c>
      <c r="U61" s="184">
        <f t="shared" si="59"/>
        <v>10.659999999999954</v>
      </c>
      <c r="V61" s="201">
        <f>IF(H60="AFIII",VLOOKUP(D61,Sheet1!$A$4:$H$18,5,FALSE),IF(H60="UBIII",VLOOKUP(D61,Sheet1!$A$4:$H$18,8,FALSE),IF(H60="",VLOOKUP(D61,Sheet1!$A$4:$H$18,2,FALSE),"0")))</f>
        <v>1768</v>
      </c>
      <c r="W61" s="201">
        <f t="shared" si="52"/>
        <v>0</v>
      </c>
      <c r="X61" s="208">
        <f t="shared" si="63"/>
        <v>7414</v>
      </c>
      <c r="Y61" s="171" t="str">
        <f t="shared" si="54"/>
        <v>SUCCESS</v>
      </c>
      <c r="Z61" s="171" t="str">
        <f t="shared" si="55"/>
        <v>SUCCESS</v>
      </c>
      <c r="AA61" s="185">
        <f t="shared" si="56"/>
        <v>148.12602965403616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324</v>
      </c>
      <c r="B62" s="113">
        <f t="shared" si="46"/>
        <v>21903</v>
      </c>
      <c r="C62" s="118">
        <f t="shared" si="71"/>
        <v>148.07000000000008</v>
      </c>
      <c r="D62" s="181" t="s">
        <v>1</v>
      </c>
      <c r="E62" s="182">
        <f>IF(H61="AFIII",VLOOKUP($D62,Sheet1!$A$34:$K$48,5,FALSE),IF(H61="UBIII",VLOOKUP($D62,Sheet1!$A$34:$K$48,8,FALSE),VLOOKUP($D62,Sheet1!$A$34:$K$48,2,FALSE)))</f>
        <v>2.39</v>
      </c>
      <c r="F62" s="182">
        <f>ROUNDDOWN((IF(H61="AFIII",VLOOKUP($D62,Sheet1!$A$34:$K$48,5,FALSE),IF(H61="UBIII",VLOOKUP($D62,Sheet1!$A$34:$K$48,8,FALSE),VLOOKUP($D62,Sheet1!$A$34:$K$48,2,FALSE))))*0.85,2)</f>
        <v>2.0299999999999998</v>
      </c>
      <c r="G62" s="182">
        <f t="shared" si="48"/>
        <v>2.39</v>
      </c>
      <c r="H62" s="183" t="s">
        <v>84</v>
      </c>
      <c r="I62" s="182">
        <v>10</v>
      </c>
      <c r="K62" s="182">
        <f t="shared" si="73"/>
        <v>14.5</v>
      </c>
      <c r="L62" s="182">
        <f t="shared" si="70"/>
        <v>55.17</v>
      </c>
      <c r="O62" s="182">
        <f>O61-G62</f>
        <v>12.75</v>
      </c>
      <c r="Q62" s="182">
        <f t="shared" si="74"/>
        <v>7.6400000000000006</v>
      </c>
      <c r="R62" s="182">
        <f t="shared" si="72"/>
        <v>30.89</v>
      </c>
      <c r="U62" s="184">
        <f t="shared" si="59"/>
        <v>8.2699999999999534</v>
      </c>
      <c r="V62" s="201">
        <f>IF(H61="AFIII",VLOOKUP(D62,Sheet1!$A$4:$H$18,5,FALSE),IF(H61="UBIII",VLOOKUP(D62,Sheet1!$A$4:$H$18,8,FALSE),IF(H61="",VLOOKUP(D62,Sheet1!$A$4:$H$18,2,FALSE),"0")))</f>
        <v>2120</v>
      </c>
      <c r="W62" s="201">
        <f t="shared" si="52"/>
        <v>0</v>
      </c>
      <c r="X62" s="208">
        <f t="shared" si="63"/>
        <v>5294</v>
      </c>
      <c r="Y62" s="171" t="str">
        <f t="shared" si="54"/>
        <v>SUCCESS</v>
      </c>
      <c r="Z62" s="171" t="str">
        <f t="shared" si="55"/>
        <v>SUCCESS</v>
      </c>
      <c r="AA62" s="185">
        <f t="shared" si="56"/>
        <v>147.92327952995197</v>
      </c>
    </row>
    <row r="63" spans="1:27">
      <c r="A63" s="112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504</v>
      </c>
      <c r="B63" s="113">
        <f t="shared" si="46"/>
        <v>22407</v>
      </c>
      <c r="C63" s="118">
        <f t="shared" si="71"/>
        <v>150.93000000000009</v>
      </c>
      <c r="D63" s="181" t="s">
        <v>6</v>
      </c>
      <c r="E63" s="182">
        <f>IF(H62="AFIII",VLOOKUP($D63,Sheet1!$A$34:$K$48,5,FALSE),IF(H62="UBIII",VLOOKUP($D63,Sheet1!$A$34:$K$48,8,FALSE),VLOOKUP($D63,Sheet1!$A$34:$K$48,2,FALSE)))</f>
        <v>2.86</v>
      </c>
      <c r="F63" s="182">
        <f>ROUNDDOWN((IF(H62="AFIII",VLOOKUP($D63,Sheet1!$A$34:$K$48,5,FALSE),IF(H62="UBIII",VLOOKUP($D63,Sheet1!$A$34:$K$48,8,FALSE),VLOOKUP($D63,Sheet1!$A$34:$K$48,2,FALSE))))*0.85,2)</f>
        <v>2.4300000000000002</v>
      </c>
      <c r="G63" s="182">
        <f t="shared" si="48"/>
        <v>2.86</v>
      </c>
      <c r="H63" s="183" t="s">
        <v>84</v>
      </c>
      <c r="I63" s="182">
        <f t="shared" ref="I63:I64" si="76">I62-G63</f>
        <v>7.1400000000000006</v>
      </c>
      <c r="K63" s="182">
        <f>K62-G63</f>
        <v>11.64</v>
      </c>
      <c r="L63" s="182">
        <f t="shared" si="70"/>
        <v>52.31</v>
      </c>
      <c r="O63" s="182">
        <f t="shared" ref="O63:O69" si="77">O62-G63</f>
        <v>9.89</v>
      </c>
      <c r="Q63" s="182">
        <f t="shared" si="74"/>
        <v>4.7800000000000011</v>
      </c>
      <c r="R63" s="182">
        <f t="shared" si="72"/>
        <v>28.03</v>
      </c>
      <c r="U63" s="184">
        <f t="shared" si="59"/>
        <v>5.409999999999954</v>
      </c>
      <c r="V63" s="201">
        <f>IF(H62="AFIII",VLOOKUP(D63,Sheet1!$A$4:$H$18,5,FALSE),IF(H62="UBIII",VLOOKUP(D63,Sheet1!$A$4:$H$18,8,FALSE),IF(H62="",VLOOKUP(D63,Sheet1!$A$4:$H$18,2,FALSE),"0")))</f>
        <v>1768</v>
      </c>
      <c r="W63" s="201">
        <f t="shared" si="52"/>
        <v>0</v>
      </c>
      <c r="X63" s="208">
        <f t="shared" si="63"/>
        <v>3526</v>
      </c>
      <c r="Y63" s="171" t="str">
        <f t="shared" si="54"/>
        <v>SUCCESS</v>
      </c>
      <c r="Z63" s="171" t="str">
        <f t="shared" si="55"/>
        <v>SUCCESS</v>
      </c>
      <c r="AA63" s="185">
        <f t="shared" si="56"/>
        <v>148.45955078513208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504</v>
      </c>
      <c r="B64" s="113">
        <f t="shared" si="46"/>
        <v>22911</v>
      </c>
      <c r="C64" s="118">
        <f t="shared" si="71"/>
        <v>153.79000000000011</v>
      </c>
      <c r="D64" s="181" t="s">
        <v>6</v>
      </c>
      <c r="E64" s="182">
        <f>IF(H63="AFIII",VLOOKUP($D64,Sheet1!$A$34:$K$48,5,FALSE),IF(H63="UBIII",VLOOKUP($D64,Sheet1!$A$34:$K$48,8,FALSE),VLOOKUP($D64,Sheet1!$A$34:$K$48,2,FALSE)))</f>
        <v>2.86</v>
      </c>
      <c r="F64" s="182">
        <f>ROUNDDOWN((IF(H63="AFIII",VLOOKUP($D64,Sheet1!$A$34:$K$48,5,FALSE),IF(H63="UBIII",VLOOKUP($D64,Sheet1!$A$34:$K$48,8,FALSE),VLOOKUP($D64,Sheet1!$A$34:$K$48,2,FALSE))))*0.85,2)</f>
        <v>2.4300000000000002</v>
      </c>
      <c r="G64" s="182">
        <f>IF(M63="迅速",IF(S63="黒魔紋",$F$1,$E$1),IF(S63="黒魔紋",IF(F64&lt;$F$1,$F$1,F64),IF(E64&lt;$E$1,$E$1,E64)))</f>
        <v>2.86</v>
      </c>
      <c r="H64" s="183" t="s">
        <v>84</v>
      </c>
      <c r="I64" s="182">
        <f t="shared" si="76"/>
        <v>4.2800000000000011</v>
      </c>
      <c r="K64" s="182">
        <f t="shared" ref="K64:K66" si="78">K63-G64</f>
        <v>8.7800000000000011</v>
      </c>
      <c r="L64" s="182">
        <f t="shared" si="70"/>
        <v>49.45</v>
      </c>
      <c r="O64" s="182">
        <f t="shared" si="77"/>
        <v>7.0300000000000011</v>
      </c>
      <c r="Q64" s="182">
        <f t="shared" si="74"/>
        <v>1.9200000000000013</v>
      </c>
      <c r="R64" s="182">
        <f t="shared" si="72"/>
        <v>25.17</v>
      </c>
      <c r="U64" s="184">
        <f t="shared" si="59"/>
        <v>2.5499999999999541</v>
      </c>
      <c r="V64" s="201">
        <f>IF(H63="AFIII",VLOOKUP(D64,Sheet1!$A$4:$H$18,5,FALSE),IF(H63="UBIII",VLOOKUP(D64,Sheet1!$A$4:$H$18,8,FALSE),IF(H63="",VLOOKUP(D64,Sheet1!$A$4:$H$18,2,FALSE),"0")))</f>
        <v>1768</v>
      </c>
      <c r="W64" s="201">
        <f t="shared" si="52"/>
        <v>0</v>
      </c>
      <c r="X64" s="208">
        <f t="shared" si="63"/>
        <v>1758</v>
      </c>
      <c r="Y64" s="171" t="str">
        <f t="shared" si="54"/>
        <v>SUCCESS</v>
      </c>
      <c r="Z64" s="171" t="str">
        <f t="shared" si="55"/>
        <v>SUCCESS</v>
      </c>
      <c r="AA64" s="185">
        <f t="shared" si="56"/>
        <v>148.97587619481101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432</v>
      </c>
      <c r="B65" s="113">
        <f t="shared" si="46"/>
        <v>23343</v>
      </c>
      <c r="C65" s="118">
        <f t="shared" si="71"/>
        <v>156.18000000000009</v>
      </c>
      <c r="D65" s="181" t="s">
        <v>129</v>
      </c>
      <c r="E65" s="182">
        <f>IF(H64="AFIII",VLOOKUP($D65,Sheet1!$A$34:$K$48,5,FALSE),IF(H64="UBIII",VLOOKUP($D65,Sheet1!$A$34:$K$48,8,FALSE),VLOOKUP($D65,Sheet1!$A$34:$K$48,2,FALSE)))</f>
        <v>2.39</v>
      </c>
      <c r="F65" s="182">
        <f>ROUNDDOWN((IF(H64="AFIII",VLOOKUP($D65,Sheet1!$A$34:$K$48,5,FALSE),IF(H64="UBIII",VLOOKUP($D65,Sheet1!$A$34:$K$48,8,FALSE),VLOOKUP($D65,Sheet1!$A$34:$K$48,2,FALSE))))*0.85,2)</f>
        <v>2.0299999999999998</v>
      </c>
      <c r="G65" s="182">
        <f t="shared" ref="G65:G92" si="79">IF(M64="迅速",IF(S64="黒魔紋",$F$1,$E$1),IF(S64="黒魔紋",IF(F65&lt;$F$1,$F$1,F65),IF(E65&lt;$E$1,$E$1,E65)))</f>
        <v>2.39</v>
      </c>
      <c r="H65" s="183" t="s">
        <v>84</v>
      </c>
      <c r="I65" s="182">
        <v>10</v>
      </c>
      <c r="K65" s="182">
        <f t="shared" si="78"/>
        <v>6.3900000000000006</v>
      </c>
      <c r="L65" s="182">
        <f t="shared" si="70"/>
        <v>47.06</v>
      </c>
      <c r="O65" s="182">
        <f t="shared" si="77"/>
        <v>4.6400000000000006</v>
      </c>
      <c r="Q65" s="182">
        <f t="shared" si="74"/>
        <v>-0.46999999999999886</v>
      </c>
      <c r="R65" s="182">
        <f t="shared" si="72"/>
        <v>22.78</v>
      </c>
      <c r="U65" s="184">
        <f t="shared" si="59"/>
        <v>0.15999999999995396</v>
      </c>
      <c r="V65" s="201">
        <f>IF(H64="AFIII",VLOOKUP(D65,Sheet1!$A$4:$H$18,5,FALSE),IF(H64="UBIII",VLOOKUP(D65,Sheet1!$A$4:$H$18,8,FALSE),IF(H64="",VLOOKUP(D65,Sheet1!$A$4:$H$18,2,FALSE),"0")))</f>
        <v>0</v>
      </c>
      <c r="W65" s="201">
        <f t="shared" si="52"/>
        <v>0</v>
      </c>
      <c r="X65" s="208">
        <f t="shared" si="63"/>
        <v>1758</v>
      </c>
      <c r="Y65" s="171" t="str">
        <f t="shared" si="54"/>
        <v>SUCCESS</v>
      </c>
      <c r="Z65" s="171" t="str">
        <f t="shared" si="55"/>
        <v>SUCCESS</v>
      </c>
      <c r="AA65" s="185">
        <f t="shared" si="56"/>
        <v>149.4621590472531</v>
      </c>
    </row>
    <row r="66" spans="1:27">
      <c r="A66" s="112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168</v>
      </c>
      <c r="B66" s="113">
        <f t="shared" si="46"/>
        <v>23511</v>
      </c>
      <c r="C66" s="118">
        <f t="shared" si="71"/>
        <v>158.57000000000008</v>
      </c>
      <c r="D66" s="181" t="s">
        <v>12</v>
      </c>
      <c r="E66" s="182">
        <f>IF(H65="AFIII",VLOOKUP($D66,Sheet1!$A$34:$K$48,5,FALSE),IF(H65="UBIII",VLOOKUP($D66,Sheet1!$A$34:$K$48,8,FALSE),VLOOKUP($D66,Sheet1!$A$34:$K$48,2,FALSE)))</f>
        <v>1.67</v>
      </c>
      <c r="F66" s="182">
        <f>ROUNDDOWN((IF(H65="AFIII",VLOOKUP($D66,Sheet1!$A$34:$K$48,5,FALSE),IF(H65="UBIII",VLOOKUP($D66,Sheet1!$A$34:$K$48,8,FALSE),VLOOKUP($D66,Sheet1!$A$34:$K$48,2,FALSE))))*0.85,2)</f>
        <v>1.41</v>
      </c>
      <c r="G66" s="182">
        <f t="shared" si="79"/>
        <v>2.39</v>
      </c>
      <c r="H66" s="183" t="s">
        <v>122</v>
      </c>
      <c r="I66" s="182">
        <f t="shared" ref="I66:I67" si="80">I65-G66</f>
        <v>7.6099999999999994</v>
      </c>
      <c r="K66" s="182">
        <f t="shared" si="78"/>
        <v>4</v>
      </c>
      <c r="L66" s="182">
        <f t="shared" si="70"/>
        <v>44.67</v>
      </c>
      <c r="O66" s="182">
        <f t="shared" si="77"/>
        <v>2.2500000000000004</v>
      </c>
      <c r="R66" s="182">
        <f t="shared" si="72"/>
        <v>20.39</v>
      </c>
      <c r="U66" s="184">
        <f t="shared" si="59"/>
        <v>-2.2300000000000462</v>
      </c>
      <c r="V66" s="201">
        <f>IF(H65="AFIII",VLOOKUP(D66,Sheet1!$A$4:$H$18,5,FALSE),IF(H65="UBIII",VLOOKUP(D66,Sheet1!$A$4:$H$18,8,FALSE),IF(H65="",VLOOKUP(D66,Sheet1!$A$4:$H$18,2,FALSE),"0")))</f>
        <v>265</v>
      </c>
      <c r="W66" s="201">
        <f t="shared" si="52"/>
        <v>0</v>
      </c>
      <c r="X66" s="208">
        <f t="shared" si="63"/>
        <v>1493</v>
      </c>
      <c r="Y66" s="171" t="str">
        <f t="shared" si="54"/>
        <v>SUCCESS</v>
      </c>
      <c r="Z66" s="171" t="str">
        <f t="shared" si="55"/>
        <v>SUCCESS</v>
      </c>
      <c r="AA66" s="185">
        <f t="shared" si="56"/>
        <v>148.26890332345329</v>
      </c>
    </row>
    <row r="67" spans="1:27">
      <c r="A67" s="119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280</v>
      </c>
      <c r="B67" s="120">
        <f t="shared" si="46"/>
        <v>23791</v>
      </c>
      <c r="C67" s="121">
        <f t="shared" si="71"/>
        <v>161.43000000000009</v>
      </c>
      <c r="D67" s="191" t="s">
        <v>14</v>
      </c>
      <c r="E67" s="192">
        <f>IF(H66="AFIII",VLOOKUP($D67,Sheet1!$A$34:$K$48,5,FALSE),IF(H66="UBIII",VLOOKUP($D67,Sheet1!$A$34:$K$48,8,FALSE),VLOOKUP($D67,Sheet1!$A$34:$K$48,2,FALSE)))</f>
        <v>2.86</v>
      </c>
      <c r="F67" s="192">
        <f>ROUNDDOWN((IF(H66="AFIII",VLOOKUP($D67,Sheet1!$A$34:$K$48,5,FALSE),IF(H66="UBIII",VLOOKUP($D67,Sheet1!$A$34:$K$48,8,FALSE),VLOOKUP($D67,Sheet1!$A$34:$K$48,2,FALSE))))*0.85,2)</f>
        <v>2.4300000000000002</v>
      </c>
      <c r="G67" s="192">
        <f t="shared" si="79"/>
        <v>2.86</v>
      </c>
      <c r="H67" s="193" t="s">
        <v>122</v>
      </c>
      <c r="I67" s="192">
        <f t="shared" si="80"/>
        <v>4.75</v>
      </c>
      <c r="J67" s="193"/>
      <c r="K67" s="192">
        <v>20</v>
      </c>
      <c r="L67" s="192">
        <f t="shared" si="70"/>
        <v>41.81</v>
      </c>
      <c r="M67" s="193"/>
      <c r="N67" s="192"/>
      <c r="O67" s="192">
        <f t="shared" si="77"/>
        <v>-0.60999999999999943</v>
      </c>
      <c r="P67" s="193"/>
      <c r="Q67" s="192"/>
      <c r="R67" s="192">
        <f t="shared" si="72"/>
        <v>17.53</v>
      </c>
      <c r="S67" s="193"/>
      <c r="T67" s="192"/>
      <c r="U67" s="194">
        <f t="shared" si="59"/>
        <v>-5.090000000000046</v>
      </c>
      <c r="V67" s="211">
        <f>IF(H66="AFIII",VLOOKUP(D67,Sheet1!$A$4:$H$18,5,FALSE),IF(H66="UBIII",VLOOKUP(D67,Sheet1!$A$4:$H$18,8,FALSE),IF(H66="",VLOOKUP(D67,Sheet1!$A$4:$H$18,2,FALSE),"0")))</f>
        <v>884</v>
      </c>
      <c r="W67" s="211">
        <f t="shared" si="52"/>
        <v>7033</v>
      </c>
      <c r="X67" s="212">
        <f t="shared" si="63"/>
        <v>7642</v>
      </c>
      <c r="Y67" s="195" t="str">
        <f t="shared" si="54"/>
        <v>SUCCESS</v>
      </c>
      <c r="Z67" s="195" t="str">
        <f t="shared" si="55"/>
        <v>SUCCESS</v>
      </c>
      <c r="AA67" s="185">
        <f t="shared" si="56"/>
        <v>147.37657188874425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168</v>
      </c>
      <c r="B68" s="113">
        <f t="shared" si="46"/>
        <v>23959</v>
      </c>
      <c r="C68" s="118">
        <f t="shared" si="71"/>
        <v>163.82000000000008</v>
      </c>
      <c r="D68" s="181" t="s">
        <v>4</v>
      </c>
      <c r="E68" s="182">
        <f>IF(H67="AFIII",VLOOKUP($D68,Sheet1!$A$34:$K$48,5,FALSE),IF(H67="UBIII",VLOOKUP($D68,Sheet1!$A$34:$K$48,8,FALSE),VLOOKUP($D68,Sheet1!$A$34:$K$48,2,FALSE)))</f>
        <v>1.67</v>
      </c>
      <c r="F68" s="182">
        <f>ROUNDDOWN((IF(H67="AFIII",VLOOKUP($D68,Sheet1!$A$34:$K$48,5,FALSE),IF(H67="UBIII",VLOOKUP($D68,Sheet1!$A$34:$K$48,8,FALSE),VLOOKUP($D68,Sheet1!$A$34:$K$48,2,FALSE))))*0.85,2)</f>
        <v>1.41</v>
      </c>
      <c r="G68" s="182">
        <f t="shared" si="79"/>
        <v>2.39</v>
      </c>
      <c r="H68" s="183" t="s">
        <v>84</v>
      </c>
      <c r="I68" s="182">
        <v>10</v>
      </c>
      <c r="K68" s="182">
        <f t="shared" ref="K68:K74" si="81">K67-G68</f>
        <v>17.61</v>
      </c>
      <c r="L68" s="182">
        <f t="shared" si="70"/>
        <v>39.42</v>
      </c>
      <c r="M68" s="183" t="s">
        <v>135</v>
      </c>
      <c r="O68" s="182">
        <f t="shared" si="77"/>
        <v>-2.9999999999999996</v>
      </c>
      <c r="R68" s="182">
        <f t="shared" si="72"/>
        <v>15.14</v>
      </c>
      <c r="S68" s="183" t="s">
        <v>87</v>
      </c>
      <c r="T68" s="182">
        <v>30</v>
      </c>
      <c r="U68" s="184">
        <v>90</v>
      </c>
      <c r="V68" s="201">
        <f>IF(H67="AFIII",VLOOKUP(D68,Sheet1!$A$4:$H$18,5,FALSE),IF(H67="UBIII",VLOOKUP(D68,Sheet1!$A$4:$H$18,8,FALSE),IF(H67="",VLOOKUP(D68,Sheet1!$A$4:$H$18,2,FALSE),"0")))</f>
        <v>442</v>
      </c>
      <c r="W68" s="201">
        <f t="shared" si="52"/>
        <v>7033</v>
      </c>
      <c r="X68" s="208">
        <f t="shared" si="63"/>
        <v>10950</v>
      </c>
      <c r="Y68" s="171" t="str">
        <f t="shared" si="54"/>
        <v>SUCCESS</v>
      </c>
      <c r="Z68" s="171" t="str">
        <f t="shared" si="55"/>
        <v>SUCCESS</v>
      </c>
      <c r="AA68" s="185">
        <f t="shared" si="56"/>
        <v>146.2519838847515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504</v>
      </c>
      <c r="B69" s="113">
        <f t="shared" si="46"/>
        <v>24463</v>
      </c>
      <c r="C69" s="118">
        <f t="shared" si="71"/>
        <v>166.25000000000009</v>
      </c>
      <c r="D69" s="181" t="s">
        <v>6</v>
      </c>
      <c r="E69" s="182">
        <f>IF(H68="AFIII",VLOOKUP($D69,Sheet1!$A$34:$K$48,5,FALSE),IF(H68="UBIII",VLOOKUP($D69,Sheet1!$A$34:$K$48,8,FALSE),VLOOKUP($D69,Sheet1!$A$34:$K$48,2,FALSE)))</f>
        <v>2.86</v>
      </c>
      <c r="F69" s="182">
        <f>ROUNDDOWN((IF(H68="AFIII",VLOOKUP($D69,Sheet1!$A$34:$K$48,5,FALSE),IF(H68="UBIII",VLOOKUP($D69,Sheet1!$A$34:$K$48,8,FALSE),VLOOKUP($D69,Sheet1!$A$34:$K$48,2,FALSE))))*0.85,2)</f>
        <v>2.4300000000000002</v>
      </c>
      <c r="G69" s="182">
        <f t="shared" si="79"/>
        <v>2.4300000000000002</v>
      </c>
      <c r="H69" s="183" t="s">
        <v>84</v>
      </c>
      <c r="I69" s="182">
        <f t="shared" ref="I69:I70" si="82">I68-G69</f>
        <v>7.57</v>
      </c>
      <c r="K69" s="182">
        <f t="shared" si="81"/>
        <v>15.18</v>
      </c>
      <c r="L69" s="182">
        <f t="shared" si="70"/>
        <v>36.99</v>
      </c>
      <c r="O69" s="182">
        <f t="shared" si="77"/>
        <v>-5.43</v>
      </c>
      <c r="R69" s="182">
        <f t="shared" si="72"/>
        <v>12.71</v>
      </c>
      <c r="S69" s="183" t="s">
        <v>87</v>
      </c>
      <c r="T69" s="182">
        <f t="shared" ref="T69:T81" si="83">T68-G69</f>
        <v>27.57</v>
      </c>
      <c r="U69" s="184">
        <f t="shared" ref="U69:U91" si="84">U68-G69</f>
        <v>87.57</v>
      </c>
      <c r="V69" s="201">
        <f>IF(H68="AFIII",VLOOKUP(D69,Sheet1!$A$4:$H$18,5,FALSE),IF(H68="UBIII",VLOOKUP(D69,Sheet1!$A$4:$H$18,8,FALSE),IF(H68="",VLOOKUP(D69,Sheet1!$A$4:$H$18,2,FALSE),"0")))</f>
        <v>1768</v>
      </c>
      <c r="W69" s="201">
        <f t="shared" si="52"/>
        <v>0</v>
      </c>
      <c r="X69" s="208">
        <f t="shared" si="63"/>
        <v>9182</v>
      </c>
      <c r="Y69" s="171" t="str">
        <f t="shared" si="54"/>
        <v>SUCCESS</v>
      </c>
      <c r="Z69" s="171" t="str">
        <f t="shared" si="55"/>
        <v>SUCCESS</v>
      </c>
      <c r="AA69" s="185">
        <f t="shared" si="56"/>
        <v>147.14586466165406</v>
      </c>
    </row>
    <row r="70" spans="1:27">
      <c r="A70" s="112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504</v>
      </c>
      <c r="B70" s="113">
        <f t="shared" si="46"/>
        <v>24967</v>
      </c>
      <c r="C70" s="118">
        <f t="shared" si="71"/>
        <v>168.68000000000009</v>
      </c>
      <c r="D70" s="181" t="s">
        <v>6</v>
      </c>
      <c r="E70" s="182">
        <f>IF(H69="AFIII",VLOOKUP($D70,Sheet1!$A$34:$K$48,5,FALSE),IF(H69="UBIII",VLOOKUP($D70,Sheet1!$A$34:$K$48,8,FALSE),VLOOKUP($D70,Sheet1!$A$34:$K$48,2,FALSE)))</f>
        <v>2.86</v>
      </c>
      <c r="F70" s="182">
        <f>ROUNDDOWN((IF(H69="AFIII",VLOOKUP($D70,Sheet1!$A$34:$K$48,5,FALSE),IF(H69="UBIII",VLOOKUP($D70,Sheet1!$A$34:$K$48,8,FALSE),VLOOKUP($D70,Sheet1!$A$34:$K$48,2,FALSE))))*0.85,2)</f>
        <v>2.4300000000000002</v>
      </c>
      <c r="G70" s="182">
        <f t="shared" si="79"/>
        <v>2.4300000000000002</v>
      </c>
      <c r="H70" s="183" t="s">
        <v>84</v>
      </c>
      <c r="I70" s="182">
        <f t="shared" si="82"/>
        <v>5.1400000000000006</v>
      </c>
      <c r="K70" s="182">
        <f t="shared" si="81"/>
        <v>12.75</v>
      </c>
      <c r="L70" s="182">
        <f t="shared" si="70"/>
        <v>34.56</v>
      </c>
      <c r="R70" s="182">
        <f t="shared" si="72"/>
        <v>10.280000000000001</v>
      </c>
      <c r="S70" s="183" t="s">
        <v>87</v>
      </c>
      <c r="T70" s="182">
        <f t="shared" si="83"/>
        <v>25.14</v>
      </c>
      <c r="U70" s="184">
        <f t="shared" si="84"/>
        <v>85.139999999999986</v>
      </c>
      <c r="V70" s="201">
        <f>IF(H69="AFIII",VLOOKUP(D70,Sheet1!$A$4:$H$18,5,FALSE),IF(H69="UBIII",VLOOKUP(D70,Sheet1!$A$4:$H$18,8,FALSE),IF(H69="",VLOOKUP(D70,Sheet1!$A$4:$H$18,2,FALSE),"0")))</f>
        <v>1768</v>
      </c>
      <c r="W70" s="201">
        <f t="shared" si="52"/>
        <v>0</v>
      </c>
      <c r="X70" s="208">
        <f t="shared" si="63"/>
        <v>7414</v>
      </c>
      <c r="Y70" s="171" t="str">
        <f t="shared" si="54"/>
        <v>SUCCESS</v>
      </c>
      <c r="Z70" s="171" t="str">
        <f t="shared" si="55"/>
        <v>SUCCESS</v>
      </c>
      <c r="AA70" s="185">
        <f t="shared" si="56"/>
        <v>148.01399098885454</v>
      </c>
    </row>
    <row r="71" spans="1:27">
      <c r="A71" s="112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324</v>
      </c>
      <c r="B71" s="113">
        <f t="shared" si="46"/>
        <v>25291</v>
      </c>
      <c r="C71" s="118">
        <f t="shared" si="71"/>
        <v>170.71000000000009</v>
      </c>
      <c r="D71" s="181" t="s">
        <v>1</v>
      </c>
      <c r="E71" s="182">
        <f>IF(H70="AFIII",VLOOKUP($D71,Sheet1!$A$34:$K$48,5,FALSE),IF(H70="UBIII",VLOOKUP($D71,Sheet1!$A$34:$K$48,8,FALSE),VLOOKUP($D71,Sheet1!$A$34:$K$48,2,FALSE)))</f>
        <v>2.39</v>
      </c>
      <c r="F71" s="182">
        <f>ROUNDDOWN((IF(H70="AFIII",VLOOKUP($D71,Sheet1!$A$34:$K$48,5,FALSE),IF(H70="UBIII",VLOOKUP($D71,Sheet1!$A$34:$K$48,8,FALSE),VLOOKUP($D71,Sheet1!$A$34:$K$48,2,FALSE))))*0.85,2)</f>
        <v>2.0299999999999998</v>
      </c>
      <c r="G71" s="182">
        <f t="shared" si="79"/>
        <v>2.0299999999999998</v>
      </c>
      <c r="H71" s="183" t="s">
        <v>84</v>
      </c>
      <c r="I71" s="182">
        <v>10</v>
      </c>
      <c r="K71" s="182">
        <f t="shared" si="81"/>
        <v>10.72</v>
      </c>
      <c r="L71" s="182">
        <f t="shared" si="70"/>
        <v>32.53</v>
      </c>
      <c r="R71" s="182">
        <f t="shared" si="72"/>
        <v>8.2500000000000018</v>
      </c>
      <c r="S71" s="183" t="s">
        <v>87</v>
      </c>
      <c r="T71" s="182">
        <f t="shared" si="83"/>
        <v>23.11</v>
      </c>
      <c r="U71" s="184">
        <f t="shared" si="84"/>
        <v>83.109999999999985</v>
      </c>
      <c r="V71" s="201">
        <f>IF(H70="AFIII",VLOOKUP(D71,Sheet1!$A$4:$H$18,5,FALSE),IF(H70="UBIII",VLOOKUP(D71,Sheet1!$A$4:$H$18,8,FALSE),IF(H70="",VLOOKUP(D71,Sheet1!$A$4:$H$18,2,FALSE),"0")))</f>
        <v>2120</v>
      </c>
      <c r="W71" s="201">
        <f t="shared" si="52"/>
        <v>0</v>
      </c>
      <c r="X71" s="208">
        <f t="shared" si="63"/>
        <v>5294</v>
      </c>
      <c r="Y71" s="171" t="str">
        <f t="shared" si="54"/>
        <v>SUCCESS</v>
      </c>
      <c r="Z71" s="171" t="str">
        <f t="shared" si="55"/>
        <v>SUCCESS</v>
      </c>
      <c r="AA71" s="185">
        <f t="shared" si="56"/>
        <v>148.15183644777684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504</v>
      </c>
      <c r="B72" s="113">
        <f t="shared" si="46"/>
        <v>25795</v>
      </c>
      <c r="C72" s="118">
        <f t="shared" si="71"/>
        <v>173.1400000000001</v>
      </c>
      <c r="D72" s="181" t="s">
        <v>6</v>
      </c>
      <c r="E72" s="182">
        <f>IF(H71="AFIII",VLOOKUP($D72,Sheet1!$A$34:$K$48,5,FALSE),IF(H71="UBIII",VLOOKUP($D72,Sheet1!$A$34:$K$48,8,FALSE),VLOOKUP($D72,Sheet1!$A$34:$K$48,2,FALSE)))</f>
        <v>2.86</v>
      </c>
      <c r="F72" s="182">
        <f>ROUNDDOWN((IF(H71="AFIII",VLOOKUP($D72,Sheet1!$A$34:$K$48,5,FALSE),IF(H71="UBIII",VLOOKUP($D72,Sheet1!$A$34:$K$48,8,FALSE),VLOOKUP($D72,Sheet1!$A$34:$K$48,2,FALSE))))*0.85,2)</f>
        <v>2.4300000000000002</v>
      </c>
      <c r="G72" s="182">
        <f t="shared" si="79"/>
        <v>2.4300000000000002</v>
      </c>
      <c r="H72" s="183" t="s">
        <v>84</v>
      </c>
      <c r="I72" s="182">
        <f t="shared" ref="I72:I73" si="85">I71-G72</f>
        <v>7.57</v>
      </c>
      <c r="K72" s="182">
        <f t="shared" si="81"/>
        <v>8.2900000000000009</v>
      </c>
      <c r="L72" s="182">
        <f t="shared" si="70"/>
        <v>30.1</v>
      </c>
      <c r="R72" s="182">
        <f>R71-G72</f>
        <v>5.8200000000000021</v>
      </c>
      <c r="S72" s="183" t="s">
        <v>87</v>
      </c>
      <c r="T72" s="182">
        <f t="shared" si="83"/>
        <v>20.68</v>
      </c>
      <c r="U72" s="184">
        <f t="shared" si="84"/>
        <v>80.679999999999978</v>
      </c>
      <c r="V72" s="201">
        <f>IF(H71="AFIII",VLOOKUP(D72,Sheet1!$A$4:$H$18,5,FALSE),IF(H71="UBIII",VLOOKUP(D72,Sheet1!$A$4:$H$18,8,FALSE),IF(H71="",VLOOKUP(D72,Sheet1!$A$4:$H$18,2,FALSE),"0")))</f>
        <v>1768</v>
      </c>
      <c r="W72" s="201">
        <f t="shared" si="52"/>
        <v>0</v>
      </c>
      <c r="X72" s="208">
        <f t="shared" si="63"/>
        <v>3526</v>
      </c>
      <c r="Y72" s="171" t="str">
        <f t="shared" si="54"/>
        <v>SUCCESS</v>
      </c>
      <c r="Z72" s="171" t="str">
        <f t="shared" si="55"/>
        <v>SUCCESS</v>
      </c>
      <c r="AA72" s="185">
        <f t="shared" si="56"/>
        <v>148.98348157560346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504</v>
      </c>
      <c r="B73" s="113">
        <f t="shared" si="46"/>
        <v>26299</v>
      </c>
      <c r="C73" s="118">
        <f t="shared" si="71"/>
        <v>175.57000000000011</v>
      </c>
      <c r="D73" s="181" t="s">
        <v>6</v>
      </c>
      <c r="E73" s="182">
        <f>IF(H72="AFIII",VLOOKUP($D73,Sheet1!$A$34:$K$48,5,FALSE),IF(H72="UBIII",VLOOKUP($D73,Sheet1!$A$34:$K$48,8,FALSE),VLOOKUP($D73,Sheet1!$A$34:$K$48,2,FALSE)))</f>
        <v>2.86</v>
      </c>
      <c r="F73" s="182">
        <f>ROUNDDOWN((IF(H72="AFIII",VLOOKUP($D73,Sheet1!$A$34:$K$48,5,FALSE),IF(H72="UBIII",VLOOKUP($D73,Sheet1!$A$34:$K$48,8,FALSE),VLOOKUP($D73,Sheet1!$A$34:$K$48,2,FALSE))))*0.85,2)</f>
        <v>2.4300000000000002</v>
      </c>
      <c r="G73" s="182">
        <f t="shared" si="79"/>
        <v>2.4300000000000002</v>
      </c>
      <c r="H73" s="183" t="s">
        <v>84</v>
      </c>
      <c r="I73" s="182">
        <f t="shared" si="85"/>
        <v>5.1400000000000006</v>
      </c>
      <c r="K73" s="182">
        <f t="shared" si="81"/>
        <v>5.8600000000000012</v>
      </c>
      <c r="L73" s="182">
        <f t="shared" si="70"/>
        <v>27.67</v>
      </c>
      <c r="R73" s="182">
        <f t="shared" ref="R73:R75" si="86">R72-G73</f>
        <v>3.3900000000000019</v>
      </c>
      <c r="S73" s="183" t="s">
        <v>87</v>
      </c>
      <c r="T73" s="182">
        <f t="shared" si="83"/>
        <v>18.25</v>
      </c>
      <c r="U73" s="184">
        <f t="shared" si="84"/>
        <v>78.249999999999972</v>
      </c>
      <c r="V73" s="201">
        <f>IF(H72="AFIII",VLOOKUP(D73,Sheet1!$A$4:$H$18,5,FALSE),IF(H72="UBIII",VLOOKUP(D73,Sheet1!$A$4:$H$18,8,FALSE),IF(H72="",VLOOKUP(D73,Sheet1!$A$4:$H$18,2,FALSE),"0")))</f>
        <v>1768</v>
      </c>
      <c r="W73" s="201">
        <f t="shared" si="52"/>
        <v>0</v>
      </c>
      <c r="X73" s="208">
        <f t="shared" si="63"/>
        <v>1758</v>
      </c>
      <c r="Y73" s="171" t="str">
        <f t="shared" si="54"/>
        <v>SUCCESS</v>
      </c>
      <c r="Z73" s="171" t="str">
        <f t="shared" si="55"/>
        <v>SUCCESS</v>
      </c>
      <c r="AA73" s="185">
        <f t="shared" si="56"/>
        <v>149.79210571282101</v>
      </c>
    </row>
    <row r="74" spans="1:27">
      <c r="A74" s="112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168</v>
      </c>
      <c r="B74" s="113">
        <f t="shared" si="46"/>
        <v>26467</v>
      </c>
      <c r="C74" s="118">
        <f t="shared" si="71"/>
        <v>177.60000000000011</v>
      </c>
      <c r="D74" s="181" t="s">
        <v>12</v>
      </c>
      <c r="E74" s="182">
        <f>IF(H73="AFIII",VLOOKUP($D74,Sheet1!$A$34:$K$48,5,FALSE),IF(H73="UBIII",VLOOKUP($D74,Sheet1!$A$34:$K$48,8,FALSE),VLOOKUP($D74,Sheet1!$A$34:$K$48,2,FALSE)))</f>
        <v>1.67</v>
      </c>
      <c r="F74" s="182">
        <f>ROUNDDOWN((IF(H73="AFIII",VLOOKUP($D74,Sheet1!$A$34:$K$48,5,FALSE),IF(H73="UBIII",VLOOKUP($D74,Sheet1!$A$34:$K$48,8,FALSE),VLOOKUP($D74,Sheet1!$A$34:$K$48,2,FALSE))))*0.85,2)</f>
        <v>1.41</v>
      </c>
      <c r="G74" s="182">
        <f t="shared" si="79"/>
        <v>2.0299999999999998</v>
      </c>
      <c r="H74" s="183" t="s">
        <v>122</v>
      </c>
      <c r="I74" s="182">
        <v>10</v>
      </c>
      <c r="K74" s="182">
        <f t="shared" si="81"/>
        <v>3.8300000000000014</v>
      </c>
      <c r="L74" s="182">
        <f t="shared" si="70"/>
        <v>25.64</v>
      </c>
      <c r="P74" s="183" t="s">
        <v>136</v>
      </c>
      <c r="R74" s="182">
        <f t="shared" si="86"/>
        <v>1.3600000000000021</v>
      </c>
      <c r="S74" s="183" t="s">
        <v>87</v>
      </c>
      <c r="T74" s="182">
        <f t="shared" si="83"/>
        <v>16.22</v>
      </c>
      <c r="U74" s="184">
        <f t="shared" si="84"/>
        <v>76.21999999999997</v>
      </c>
      <c r="V74" s="201">
        <f>IF(H73="AFIII",VLOOKUP(D74,Sheet1!$A$4:$H$18,5,FALSE),IF(H73="UBIII",VLOOKUP(D74,Sheet1!$A$4:$H$18,8,FALSE),IF(H73="",VLOOKUP(D74,Sheet1!$A$4:$H$18,2,FALSE),"0")))</f>
        <v>265</v>
      </c>
      <c r="W74" s="201">
        <f t="shared" si="52"/>
        <v>0</v>
      </c>
      <c r="X74" s="208">
        <f t="shared" si="63"/>
        <v>1493</v>
      </c>
      <c r="Y74" s="171" t="str">
        <f t="shared" si="54"/>
        <v>SUCCESS</v>
      </c>
      <c r="Z74" s="171" t="str">
        <f t="shared" si="55"/>
        <v>SUCCESS</v>
      </c>
      <c r="AA74" s="185">
        <f t="shared" si="56"/>
        <v>149.02590090090081</v>
      </c>
    </row>
    <row r="75" spans="1:27">
      <c r="A75" s="119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280</v>
      </c>
      <c r="B75" s="120">
        <f t="shared" si="46"/>
        <v>26747</v>
      </c>
      <c r="C75" s="121">
        <f t="shared" si="71"/>
        <v>180.03000000000011</v>
      </c>
      <c r="D75" s="191" t="s">
        <v>14</v>
      </c>
      <c r="E75" s="192">
        <f>IF(H74="AFIII",VLOOKUP($D75,Sheet1!$A$34:$K$48,5,FALSE),IF(H74="UBIII",VLOOKUP($D75,Sheet1!$A$34:$K$48,8,FALSE),VLOOKUP($D75,Sheet1!$A$34:$K$48,2,FALSE)))</f>
        <v>2.86</v>
      </c>
      <c r="F75" s="192">
        <f>ROUNDDOWN((IF(H74="AFIII",VLOOKUP($D75,Sheet1!$A$34:$K$48,5,FALSE),IF(H74="UBIII",VLOOKUP($D75,Sheet1!$A$34:$K$48,8,FALSE),VLOOKUP($D75,Sheet1!$A$34:$K$48,2,FALSE))))*0.85,2)</f>
        <v>2.4300000000000002</v>
      </c>
      <c r="G75" s="192">
        <f t="shared" si="79"/>
        <v>2.4300000000000002</v>
      </c>
      <c r="H75" s="193" t="s">
        <v>122</v>
      </c>
      <c r="I75" s="192">
        <f t="shared" ref="I75" si="87">I74-G75</f>
        <v>7.57</v>
      </c>
      <c r="J75" s="193"/>
      <c r="K75" s="192">
        <v>15</v>
      </c>
      <c r="L75" s="192">
        <f t="shared" si="70"/>
        <v>23.21</v>
      </c>
      <c r="M75" s="193"/>
      <c r="N75" s="192"/>
      <c r="O75" s="192"/>
      <c r="P75" s="193"/>
      <c r="Q75" s="192"/>
      <c r="R75" s="192">
        <f t="shared" si="86"/>
        <v>-1.0699999999999981</v>
      </c>
      <c r="S75" s="193" t="s">
        <v>87</v>
      </c>
      <c r="T75" s="192">
        <f t="shared" si="83"/>
        <v>13.79</v>
      </c>
      <c r="U75" s="194">
        <f t="shared" si="84"/>
        <v>73.789999999999964</v>
      </c>
      <c r="V75" s="211">
        <f>IF(H74="AFIII",VLOOKUP(D75,Sheet1!$A$4:$H$18,5,FALSE),IF(H74="UBIII",VLOOKUP(D75,Sheet1!$A$4:$H$18,8,FALSE),IF(H74="",VLOOKUP(D75,Sheet1!$A$4:$H$18,2,FALSE),"0")))</f>
        <v>884</v>
      </c>
      <c r="W75" s="211">
        <f t="shared" si="52"/>
        <v>7033</v>
      </c>
      <c r="X75" s="212">
        <f t="shared" si="63"/>
        <v>7642</v>
      </c>
      <c r="Y75" s="195" t="str">
        <f t="shared" si="54"/>
        <v>SUCCESS</v>
      </c>
      <c r="Z75" s="195" t="str">
        <f t="shared" si="55"/>
        <v>SUCCESS</v>
      </c>
      <c r="AA75" s="185">
        <f t="shared" si="56"/>
        <v>148.56968283063924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168</v>
      </c>
      <c r="B76" s="113">
        <f t="shared" si="46"/>
        <v>26915</v>
      </c>
      <c r="C76" s="118">
        <f t="shared" si="71"/>
        <v>182.06000000000012</v>
      </c>
      <c r="D76" s="181" t="s">
        <v>4</v>
      </c>
      <c r="E76" s="182">
        <f>IF(H75="AFIII",VLOOKUP($D76,Sheet1!$A$34:$K$48,5,FALSE),IF(H75="UBIII",VLOOKUP($D76,Sheet1!$A$34:$K$48,8,FALSE),VLOOKUP($D76,Sheet1!$A$34:$K$48,2,FALSE)))</f>
        <v>1.67</v>
      </c>
      <c r="F76" s="182">
        <f>ROUNDDOWN((IF(H75="AFIII",VLOOKUP($D76,Sheet1!$A$34:$K$48,5,FALSE),IF(H75="UBIII",VLOOKUP($D76,Sheet1!$A$34:$K$48,8,FALSE),VLOOKUP($D76,Sheet1!$A$34:$K$48,2,FALSE))))*0.85,2)</f>
        <v>1.41</v>
      </c>
      <c r="G76" s="182">
        <f t="shared" si="79"/>
        <v>2.0299999999999998</v>
      </c>
      <c r="H76" s="183" t="s">
        <v>84</v>
      </c>
      <c r="I76" s="182">
        <v>10</v>
      </c>
      <c r="K76" s="182">
        <f t="shared" ref="K76:K83" si="88">K75-G76</f>
        <v>12.97</v>
      </c>
      <c r="L76" s="182">
        <f t="shared" si="70"/>
        <v>21.18</v>
      </c>
      <c r="S76" s="183" t="s">
        <v>87</v>
      </c>
      <c r="T76" s="182">
        <f t="shared" si="83"/>
        <v>11.76</v>
      </c>
      <c r="U76" s="184">
        <f t="shared" si="84"/>
        <v>71.759999999999962</v>
      </c>
      <c r="V76" s="201">
        <f>IF(H75="AFIII",VLOOKUP(D76,Sheet1!$A$4:$H$18,5,FALSE),IF(H75="UBIII",VLOOKUP(D76,Sheet1!$A$4:$H$18,8,FALSE),IF(H75="",VLOOKUP(D76,Sheet1!$A$4:$H$18,2,FALSE),"0")))</f>
        <v>442</v>
      </c>
      <c r="W76" s="201">
        <f t="shared" si="52"/>
        <v>7033</v>
      </c>
      <c r="X76" s="208">
        <f t="shared" si="63"/>
        <v>10950</v>
      </c>
      <c r="Y76" s="171" t="str">
        <f t="shared" si="54"/>
        <v>SUCCESS</v>
      </c>
      <c r="Z76" s="171" t="str">
        <f t="shared" si="55"/>
        <v>SUCCESS</v>
      </c>
      <c r="AA76" s="185">
        <f t="shared" si="56"/>
        <v>147.83587828188499</v>
      </c>
    </row>
    <row r="77" spans="1:27">
      <c r="A77" s="112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46"/>
        <v>27419</v>
      </c>
      <c r="C77" s="118">
        <f t="shared" si="71"/>
        <v>184.49000000000012</v>
      </c>
      <c r="D77" s="181" t="s">
        <v>6</v>
      </c>
      <c r="E77" s="182">
        <f>IF(H76="AFIII",VLOOKUP($D77,Sheet1!$A$34:$K$48,5,FALSE),IF(H76="UBIII",VLOOKUP($D77,Sheet1!$A$34:$K$48,8,FALSE),VLOOKUP($D77,Sheet1!$A$34:$K$48,2,FALSE)))</f>
        <v>2.86</v>
      </c>
      <c r="F77" s="182">
        <f>ROUNDDOWN((IF(H76="AFIII",VLOOKUP($D77,Sheet1!$A$34:$K$48,5,FALSE),IF(H76="UBIII",VLOOKUP($D77,Sheet1!$A$34:$K$48,8,FALSE),VLOOKUP($D77,Sheet1!$A$34:$K$48,2,FALSE))))*0.85,2)</f>
        <v>2.4300000000000002</v>
      </c>
      <c r="G77" s="182">
        <f t="shared" si="79"/>
        <v>2.4300000000000002</v>
      </c>
      <c r="H77" s="183" t="s">
        <v>84</v>
      </c>
      <c r="I77" s="182">
        <f t="shared" ref="I77:I78" si="89">I76-G77</f>
        <v>7.57</v>
      </c>
      <c r="K77" s="182">
        <f t="shared" si="88"/>
        <v>10.540000000000001</v>
      </c>
      <c r="L77" s="182">
        <f t="shared" si="70"/>
        <v>18.75</v>
      </c>
      <c r="S77" s="183" t="s">
        <v>87</v>
      </c>
      <c r="T77" s="182">
        <f t="shared" si="83"/>
        <v>9.33</v>
      </c>
      <c r="U77" s="184">
        <f t="shared" si="84"/>
        <v>69.329999999999956</v>
      </c>
      <c r="V77" s="201">
        <f>IF(H76="AFIII",VLOOKUP(D77,Sheet1!$A$4:$H$18,5,FALSE),IF(H76="UBIII",VLOOKUP(D77,Sheet1!$A$4:$H$18,8,FALSE),IF(H76="",VLOOKUP(D77,Sheet1!$A$4:$H$18,2,FALSE),"0")))</f>
        <v>1768</v>
      </c>
      <c r="W77" s="201">
        <f t="shared" si="52"/>
        <v>0</v>
      </c>
      <c r="X77" s="208">
        <f t="shared" si="63"/>
        <v>9182</v>
      </c>
      <c r="Y77" s="171" t="str">
        <f t="shared" si="54"/>
        <v>SUCCESS</v>
      </c>
      <c r="Z77" s="171" t="str">
        <f t="shared" si="55"/>
        <v>SUCCESS</v>
      </c>
      <c r="AA77" s="185">
        <f t="shared" si="56"/>
        <v>148.62052143747619</v>
      </c>
    </row>
    <row r="78" spans="1:27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504</v>
      </c>
      <c r="B78" s="113">
        <f t="shared" si="46"/>
        <v>27923</v>
      </c>
      <c r="C78" s="118">
        <f t="shared" si="71"/>
        <v>186.92000000000013</v>
      </c>
      <c r="D78" s="181" t="s">
        <v>6</v>
      </c>
      <c r="E78" s="182">
        <f>IF(H77="AFIII",VLOOKUP($D78,Sheet1!$A$34:$K$48,5,FALSE),IF(H77="UBIII",VLOOKUP($D78,Sheet1!$A$34:$K$48,8,FALSE),VLOOKUP($D78,Sheet1!$A$34:$K$48,2,FALSE)))</f>
        <v>2.86</v>
      </c>
      <c r="F78" s="182">
        <f>ROUNDDOWN((IF(H77="AFIII",VLOOKUP($D78,Sheet1!$A$34:$K$48,5,FALSE),IF(H77="UBIII",VLOOKUP($D78,Sheet1!$A$34:$K$48,8,FALSE),VLOOKUP($D78,Sheet1!$A$34:$K$48,2,FALSE))))*0.85,2)</f>
        <v>2.4300000000000002</v>
      </c>
      <c r="G78" s="182">
        <f t="shared" si="79"/>
        <v>2.4300000000000002</v>
      </c>
      <c r="H78" s="183" t="s">
        <v>84</v>
      </c>
      <c r="I78" s="182">
        <f t="shared" si="89"/>
        <v>5.1400000000000006</v>
      </c>
      <c r="K78" s="182">
        <f t="shared" si="88"/>
        <v>8.1100000000000012</v>
      </c>
      <c r="L78" s="182">
        <f t="shared" si="70"/>
        <v>16.32</v>
      </c>
      <c r="S78" s="183" t="s">
        <v>87</v>
      </c>
      <c r="T78" s="182">
        <f t="shared" si="83"/>
        <v>6.9</v>
      </c>
      <c r="U78" s="184">
        <f t="shared" si="84"/>
        <v>66.899999999999949</v>
      </c>
      <c r="V78" s="201">
        <f>IF(H77="AFIII",VLOOKUP(D78,Sheet1!$A$4:$H$18,5,FALSE),IF(H77="UBIII",VLOOKUP(D78,Sheet1!$A$4:$H$18,8,FALSE),IF(H77="",VLOOKUP(D78,Sheet1!$A$4:$H$18,2,FALSE),"0")))</f>
        <v>1768</v>
      </c>
      <c r="W78" s="201">
        <f t="shared" si="52"/>
        <v>0</v>
      </c>
      <c r="X78" s="208">
        <f t="shared" si="63"/>
        <v>7414</v>
      </c>
      <c r="Y78" s="171" t="str">
        <f t="shared" si="54"/>
        <v>SUCCESS</v>
      </c>
      <c r="Z78" s="171" t="str">
        <f t="shared" si="55"/>
        <v>SUCCESS</v>
      </c>
      <c r="AA78" s="185">
        <f t="shared" si="56"/>
        <v>149.38476353520213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324</v>
      </c>
      <c r="B79" s="113">
        <f t="shared" si="46"/>
        <v>28247</v>
      </c>
      <c r="C79" s="118">
        <f t="shared" si="71"/>
        <v>188.95000000000013</v>
      </c>
      <c r="D79" s="181" t="s">
        <v>1</v>
      </c>
      <c r="E79" s="182">
        <f>IF(H78="AFIII",VLOOKUP($D79,Sheet1!$A$34:$K$48,5,FALSE),IF(H78="UBIII",VLOOKUP($D79,Sheet1!$A$34:$K$48,8,FALSE),VLOOKUP($D79,Sheet1!$A$34:$K$48,2,FALSE)))</f>
        <v>2.39</v>
      </c>
      <c r="F79" s="182">
        <f>ROUNDDOWN((IF(H78="AFIII",VLOOKUP($D79,Sheet1!$A$34:$K$48,5,FALSE),IF(H78="UBIII",VLOOKUP($D79,Sheet1!$A$34:$K$48,8,FALSE),VLOOKUP($D79,Sheet1!$A$34:$K$48,2,FALSE))))*0.85,2)</f>
        <v>2.0299999999999998</v>
      </c>
      <c r="G79" s="182">
        <f t="shared" si="79"/>
        <v>2.0299999999999998</v>
      </c>
      <c r="H79" s="183" t="s">
        <v>84</v>
      </c>
      <c r="I79" s="182">
        <v>10</v>
      </c>
      <c r="K79" s="182">
        <f t="shared" si="88"/>
        <v>6.0800000000000018</v>
      </c>
      <c r="L79" s="182">
        <f t="shared" si="70"/>
        <v>14.290000000000001</v>
      </c>
      <c r="S79" s="183" t="s">
        <v>87</v>
      </c>
      <c r="T79" s="182">
        <f t="shared" si="83"/>
        <v>4.870000000000001</v>
      </c>
      <c r="U79" s="184">
        <f t="shared" si="84"/>
        <v>64.869999999999948</v>
      </c>
      <c r="V79" s="201">
        <f>IF(H78="AFIII",VLOOKUP(D79,Sheet1!$A$4:$H$18,5,FALSE),IF(H78="UBIII",VLOOKUP(D79,Sheet1!$A$4:$H$18,8,FALSE),IF(H78="",VLOOKUP(D79,Sheet1!$A$4:$H$18,2,FALSE),"0")))</f>
        <v>2120</v>
      </c>
      <c r="W79" s="201">
        <f t="shared" si="52"/>
        <v>0</v>
      </c>
      <c r="X79" s="208">
        <f t="shared" si="63"/>
        <v>5294</v>
      </c>
      <c r="Y79" s="171" t="str">
        <f t="shared" si="54"/>
        <v>SUCCESS</v>
      </c>
      <c r="Z79" s="171" t="str">
        <f t="shared" si="55"/>
        <v>SUCCESS</v>
      </c>
      <c r="AA79" s="185">
        <f t="shared" si="56"/>
        <v>149.49457528446669</v>
      </c>
    </row>
    <row r="80" spans="1:27">
      <c r="A80" s="112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504</v>
      </c>
      <c r="B80" s="113">
        <f t="shared" si="46"/>
        <v>28751</v>
      </c>
      <c r="C80" s="118">
        <f t="shared" si="71"/>
        <v>191.38000000000014</v>
      </c>
      <c r="D80" s="181" t="s">
        <v>6</v>
      </c>
      <c r="E80" s="182">
        <f>IF(H79="AFIII",VLOOKUP($D80,Sheet1!$A$34:$K$48,5,FALSE),IF(H79="UBIII",VLOOKUP($D80,Sheet1!$A$34:$K$48,8,FALSE),VLOOKUP($D80,Sheet1!$A$34:$K$48,2,FALSE)))</f>
        <v>2.86</v>
      </c>
      <c r="F80" s="182">
        <f>ROUNDDOWN((IF(H79="AFIII",VLOOKUP($D80,Sheet1!$A$34:$K$48,5,FALSE),IF(H79="UBIII",VLOOKUP($D80,Sheet1!$A$34:$K$48,8,FALSE),VLOOKUP($D80,Sheet1!$A$34:$K$48,2,FALSE))))*0.85,2)</f>
        <v>2.4300000000000002</v>
      </c>
      <c r="G80" s="182">
        <f t="shared" si="79"/>
        <v>2.4300000000000002</v>
      </c>
      <c r="H80" s="183" t="s">
        <v>84</v>
      </c>
      <c r="I80" s="182">
        <f t="shared" ref="I80" si="90">I79-G80</f>
        <v>7.57</v>
      </c>
      <c r="K80" s="182">
        <f t="shared" si="88"/>
        <v>3.6500000000000017</v>
      </c>
      <c r="L80" s="182">
        <f t="shared" si="70"/>
        <v>11.860000000000001</v>
      </c>
      <c r="S80" s="183" t="s">
        <v>87</v>
      </c>
      <c r="T80" s="182">
        <f t="shared" si="83"/>
        <v>2.4400000000000008</v>
      </c>
      <c r="U80" s="184">
        <f t="shared" si="84"/>
        <v>62.439999999999948</v>
      </c>
      <c r="V80" s="201">
        <f>IF(H79="AFIII",VLOOKUP(D80,Sheet1!$A$4:$H$18,5,FALSE),IF(H79="UBIII",VLOOKUP(D80,Sheet1!$A$4:$H$18,8,FALSE),IF(H79="",VLOOKUP(D80,Sheet1!$A$4:$H$18,2,FALSE),"0")))</f>
        <v>1768</v>
      </c>
      <c r="W80" s="201">
        <f t="shared" si="52"/>
        <v>0</v>
      </c>
      <c r="X80" s="208">
        <f t="shared" si="63"/>
        <v>3526</v>
      </c>
      <c r="Y80" s="171" t="str">
        <f t="shared" si="54"/>
        <v>SUCCESS</v>
      </c>
      <c r="Z80" s="171" t="str">
        <f t="shared" si="55"/>
        <v>SUCCESS</v>
      </c>
      <c r="AA80" s="185">
        <f t="shared" si="56"/>
        <v>150.22990908140861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504</v>
      </c>
      <c r="B81" s="113">
        <f t="shared" si="46"/>
        <v>29255</v>
      </c>
      <c r="C81" s="118">
        <f t="shared" si="71"/>
        <v>193.81000000000014</v>
      </c>
      <c r="D81" s="181" t="s">
        <v>6</v>
      </c>
      <c r="E81" s="182">
        <f>IF(H80="AFIII",VLOOKUP($D81,Sheet1!$A$34:$K$48,5,FALSE),IF(H80="UBIII",VLOOKUP($D81,Sheet1!$A$34:$K$48,8,FALSE),VLOOKUP($D81,Sheet1!$A$34:$K$48,2,FALSE)))</f>
        <v>2.86</v>
      </c>
      <c r="F81" s="182">
        <f>ROUNDDOWN((IF(H80="AFIII",VLOOKUP($D81,Sheet1!$A$34:$K$48,5,FALSE),IF(H80="UBIII",VLOOKUP($D81,Sheet1!$A$34:$K$48,8,FALSE),VLOOKUP($D81,Sheet1!$A$34:$K$48,2,FALSE))))*0.85,2)</f>
        <v>2.4300000000000002</v>
      </c>
      <c r="G81" s="182">
        <f t="shared" si="79"/>
        <v>2.4300000000000002</v>
      </c>
      <c r="H81" s="183" t="s">
        <v>84</v>
      </c>
      <c r="I81" s="182">
        <v>10</v>
      </c>
      <c r="K81" s="182">
        <f t="shared" si="88"/>
        <v>1.2200000000000015</v>
      </c>
      <c r="L81" s="182">
        <f t="shared" si="70"/>
        <v>9.4300000000000015</v>
      </c>
      <c r="T81" s="182">
        <f t="shared" si="83"/>
        <v>1.0000000000000675E-2</v>
      </c>
      <c r="U81" s="184">
        <f t="shared" si="84"/>
        <v>60.009999999999948</v>
      </c>
      <c r="V81" s="201">
        <f>IF(H80="AFIII",VLOOKUP(D81,Sheet1!$A$4:$H$18,5,FALSE),IF(H80="UBIII",VLOOKUP(D81,Sheet1!$A$4:$H$18,8,FALSE),IF(H80="",VLOOKUP(D81,Sheet1!$A$4:$H$18,2,FALSE),"0")))</f>
        <v>1768</v>
      </c>
      <c r="W81" s="201">
        <f t="shared" si="52"/>
        <v>0</v>
      </c>
      <c r="X81" s="208">
        <f t="shared" si="63"/>
        <v>1758</v>
      </c>
      <c r="Y81" s="171" t="str">
        <f t="shared" si="54"/>
        <v>SUCCESS</v>
      </c>
      <c r="Z81" s="171" t="str">
        <f t="shared" si="55"/>
        <v>SUCCESS</v>
      </c>
      <c r="AA81" s="185">
        <f t="shared" si="56"/>
        <v>150.94680357050709</v>
      </c>
    </row>
    <row r="82" spans="1:27">
      <c r="A82" s="112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432</v>
      </c>
      <c r="B82" s="113">
        <f t="shared" si="46"/>
        <v>29687</v>
      </c>
      <c r="C82" s="118">
        <f t="shared" si="71"/>
        <v>196.20000000000013</v>
      </c>
      <c r="D82" s="181" t="s">
        <v>129</v>
      </c>
      <c r="E82" s="182">
        <f>IF(H81="AFIII",VLOOKUP($D82,Sheet1!$A$34:$K$48,5,FALSE),IF(H81="UBIII",VLOOKUP($D82,Sheet1!$A$34:$K$48,8,FALSE),VLOOKUP($D82,Sheet1!$A$34:$K$48,2,FALSE)))</f>
        <v>2.39</v>
      </c>
      <c r="F82" s="182">
        <f>ROUNDDOWN((IF(H81="AFIII",VLOOKUP($D82,Sheet1!$A$34:$K$48,5,FALSE),IF(H81="UBIII",VLOOKUP($D82,Sheet1!$A$34:$K$48,8,FALSE),VLOOKUP($D82,Sheet1!$A$34:$K$48,2,FALSE))))*0.85,2)</f>
        <v>2.0299999999999998</v>
      </c>
      <c r="G82" s="182">
        <f t="shared" si="79"/>
        <v>2.39</v>
      </c>
      <c r="H82" s="183" t="s">
        <v>84</v>
      </c>
      <c r="I82" s="182">
        <v>10</v>
      </c>
      <c r="K82" s="182">
        <f t="shared" si="88"/>
        <v>-1.1699999999999986</v>
      </c>
      <c r="L82" s="182">
        <f t="shared" si="70"/>
        <v>7.0400000000000009</v>
      </c>
      <c r="U82" s="184">
        <f t="shared" si="84"/>
        <v>57.619999999999948</v>
      </c>
      <c r="V82" s="201">
        <f>IF(H81="AFIII",VLOOKUP(D82,Sheet1!$A$4:$H$18,5,FALSE),IF(H81="UBIII",VLOOKUP(D82,Sheet1!$A$4:$H$18,8,FALSE),IF(H81="",VLOOKUP(D82,Sheet1!$A$4:$H$18,2,FALSE),"0")))</f>
        <v>0</v>
      </c>
      <c r="W82" s="201">
        <f t="shared" si="52"/>
        <v>0</v>
      </c>
      <c r="X82" s="208">
        <f t="shared" si="63"/>
        <v>1758</v>
      </c>
      <c r="Y82" s="171" t="str">
        <f t="shared" si="54"/>
        <v>SUCCESS</v>
      </c>
      <c r="Z82" s="171" t="str">
        <f t="shared" si="55"/>
        <v>ERROR</v>
      </c>
      <c r="AA82" s="185">
        <f>B82/C82</f>
        <v>151.30988786952079</v>
      </c>
    </row>
    <row r="83" spans="1:27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168</v>
      </c>
      <c r="B83" s="113">
        <f t="shared" ref="B83:B146" si="91">B82+A83</f>
        <v>29855</v>
      </c>
      <c r="C83" s="118">
        <f t="shared" si="71"/>
        <v>198.59000000000012</v>
      </c>
      <c r="D83" s="181" t="s">
        <v>12</v>
      </c>
      <c r="E83" s="182">
        <f>IF(H82="AFIII",VLOOKUP($D83,Sheet1!$A$34:$K$48,5,FALSE),IF(H82="UBIII",VLOOKUP($D83,Sheet1!$A$34:$K$48,8,FALSE),VLOOKUP($D83,Sheet1!$A$34:$K$48,2,FALSE)))</f>
        <v>1.67</v>
      </c>
      <c r="F83" s="182">
        <f>ROUNDDOWN((IF(H82="AFIII",VLOOKUP($D83,Sheet1!$A$34:$K$48,5,FALSE),IF(H82="UBIII",VLOOKUP($D83,Sheet1!$A$34:$K$48,8,FALSE),VLOOKUP($D83,Sheet1!$A$34:$K$48,2,FALSE))))*0.85,2)</f>
        <v>1.41</v>
      </c>
      <c r="G83" s="182">
        <f t="shared" si="79"/>
        <v>2.39</v>
      </c>
      <c r="H83" s="183" t="s">
        <v>122</v>
      </c>
      <c r="I83" s="182">
        <v>10</v>
      </c>
      <c r="K83" s="182">
        <f t="shared" si="88"/>
        <v>-3.5599999999999987</v>
      </c>
      <c r="L83" s="182">
        <f t="shared" si="70"/>
        <v>4.6500000000000004</v>
      </c>
      <c r="U83" s="184">
        <f t="shared" si="84"/>
        <v>55.229999999999947</v>
      </c>
      <c r="V83" s="201">
        <f>IF(H82="AFIII",VLOOKUP(D83,Sheet1!$A$4:$H$18,5,FALSE),IF(H82="UBIII",VLOOKUP(D83,Sheet1!$A$4:$H$18,8,FALSE),IF(H82="",VLOOKUP(D83,Sheet1!$A$4:$H$18,2,FALSE),"0")))</f>
        <v>265</v>
      </c>
      <c r="W83" s="201">
        <f t="shared" ref="W83:W146" si="92">IF(H82="UBIII",$X$2,0)</f>
        <v>0</v>
      </c>
      <c r="X83" s="208">
        <f t="shared" si="63"/>
        <v>1493</v>
      </c>
      <c r="Y83" s="171" t="str">
        <f t="shared" ref="Y83:Y146" si="93">IF(X82-V83&lt;0,"ERROR","SUCCESS")</f>
        <v>SUCCESS</v>
      </c>
      <c r="Z83" s="171" t="str">
        <f t="shared" ref="Z83:Z146" si="94">IF(K82-G83&lt;0,"ERROR","SUCCESS")</f>
        <v>ERROR</v>
      </c>
      <c r="AA83" s="185">
        <f t="shared" ref="AA83:AA89" si="95">B83/C83</f>
        <v>150.33486076841726</v>
      </c>
    </row>
    <row r="84" spans="1:27" ht="12.75" thickBot="1">
      <c r="A84" s="116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295</v>
      </c>
      <c r="B84" s="117">
        <f t="shared" si="91"/>
        <v>30150</v>
      </c>
      <c r="C84" s="125">
        <f t="shared" si="71"/>
        <v>201.45000000000013</v>
      </c>
      <c r="D84" s="196" t="s">
        <v>19</v>
      </c>
      <c r="E84" s="197">
        <f>IF(H83="AFIII",VLOOKUP($D84,Sheet1!$A$34:$K$48,5,FALSE),IF(H83="UBIII",VLOOKUP($D84,Sheet1!$A$34:$K$48,8,FALSE),VLOOKUP($D84,Sheet1!$A$34:$K$48,2,FALSE)))</f>
        <v>2.86</v>
      </c>
      <c r="F84" s="197">
        <f>ROUNDDOWN((IF(H83="AFIII",VLOOKUP($D84,Sheet1!$A$34:$K$48,5,FALSE),IF(H83="UBIII",VLOOKUP($D84,Sheet1!$A$34:$K$48,8,FALSE),VLOOKUP($D84,Sheet1!$A$34:$K$48,2,FALSE))))*0.85,2)</f>
        <v>2.4300000000000002</v>
      </c>
      <c r="G84" s="197">
        <f t="shared" si="79"/>
        <v>2.86</v>
      </c>
      <c r="H84" s="198" t="s">
        <v>122</v>
      </c>
      <c r="I84" s="197">
        <f>I83-G84</f>
        <v>7.1400000000000006</v>
      </c>
      <c r="J84" s="198"/>
      <c r="K84" s="197"/>
      <c r="L84" s="197">
        <f t="shared" si="70"/>
        <v>1.7900000000000005</v>
      </c>
      <c r="M84" s="198"/>
      <c r="N84" s="197"/>
      <c r="O84" s="197"/>
      <c r="P84" s="198" t="s">
        <v>17</v>
      </c>
      <c r="Q84" s="197">
        <v>21</v>
      </c>
      <c r="R84" s="197"/>
      <c r="S84" s="198"/>
      <c r="T84" s="197"/>
      <c r="U84" s="199">
        <f t="shared" si="84"/>
        <v>52.369999999999948</v>
      </c>
      <c r="V84" s="206">
        <f>IF(H83="AFIII",VLOOKUP(D84,Sheet1!$A$4:$H$18,5,FALSE),IF(H83="UBIII",VLOOKUP(D84,Sheet1!$A$4:$H$18,8,FALSE),IF(H83="",VLOOKUP(D84,Sheet1!$A$4:$H$18,2,FALSE),"0")))</f>
        <v>1060</v>
      </c>
      <c r="W84" s="206">
        <f t="shared" si="92"/>
        <v>7033</v>
      </c>
      <c r="X84" s="207">
        <f t="shared" si="63"/>
        <v>7466</v>
      </c>
      <c r="Y84" s="180" t="str">
        <f t="shared" si="93"/>
        <v>SUCCESS</v>
      </c>
      <c r="Z84" s="180" t="str">
        <f t="shared" si="94"/>
        <v>ERROR</v>
      </c>
      <c r="AA84" s="185">
        <f t="shared" si="95"/>
        <v>149.66492926284428</v>
      </c>
    </row>
    <row r="85" spans="1:27" ht="12.75" thickTop="1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168</v>
      </c>
      <c r="B85" s="113">
        <f t="shared" si="91"/>
        <v>30318</v>
      </c>
      <c r="C85" s="118">
        <f t="shared" si="71"/>
        <v>203.84000000000012</v>
      </c>
      <c r="D85" s="200" t="s">
        <v>4</v>
      </c>
      <c r="E85" s="182">
        <f>IF(H84="AFIII",VLOOKUP($D85,Sheet1!$A$34:$K$48,5,FALSE),IF(H84="UBIII",VLOOKUP($D85,Sheet1!$A$34:$K$48,8,FALSE),VLOOKUP($D85,Sheet1!$A$34:$K$48,2,FALSE)))</f>
        <v>1.67</v>
      </c>
      <c r="F85" s="182">
        <f>ROUNDDOWN((IF(H84="AFIII",VLOOKUP($D85,Sheet1!$A$34:$K$48,5,FALSE),IF(H84="UBIII",VLOOKUP($D85,Sheet1!$A$34:$K$48,8,FALSE),VLOOKUP($D85,Sheet1!$A$34:$K$48,2,FALSE))))*0.85,2)</f>
        <v>1.41</v>
      </c>
      <c r="G85" s="182">
        <f t="shared" si="79"/>
        <v>2.39</v>
      </c>
      <c r="H85" s="183" t="s">
        <v>83</v>
      </c>
      <c r="I85" s="182">
        <v>10</v>
      </c>
      <c r="L85" s="182">
        <f t="shared" si="70"/>
        <v>-0.59999999999999964</v>
      </c>
      <c r="Q85" s="182">
        <f>Q84-G85</f>
        <v>18.61</v>
      </c>
      <c r="U85" s="184">
        <f t="shared" si="84"/>
        <v>49.979999999999947</v>
      </c>
      <c r="V85" s="213">
        <f>IF(H84="AFIII",VLOOKUP(D85,Sheet1!$A$4:$H$18,5,FALSE),IF(H84="UBIII",VLOOKUP(D85,Sheet1!$A$4:$H$18,8,FALSE),IF(H84="",VLOOKUP(D85,Sheet1!$A$4:$H$18,2,FALSE),"0")))</f>
        <v>442</v>
      </c>
      <c r="W85" s="213">
        <f t="shared" si="92"/>
        <v>7033</v>
      </c>
      <c r="X85" s="214">
        <f t="shared" si="63"/>
        <v>10950</v>
      </c>
      <c r="Y85" s="171" t="str">
        <f t="shared" si="93"/>
        <v>SUCCESS</v>
      </c>
      <c r="Z85" s="171" t="str">
        <f t="shared" si="94"/>
        <v>ERROR</v>
      </c>
      <c r="AA85" s="185">
        <f t="shared" si="95"/>
        <v>148.73430141287275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324</v>
      </c>
      <c r="B86" s="113">
        <f t="shared" si="91"/>
        <v>30642</v>
      </c>
      <c r="C86" s="118">
        <f t="shared" si="71"/>
        <v>206.2300000000001</v>
      </c>
      <c r="D86" s="181" t="s">
        <v>1</v>
      </c>
      <c r="E86" s="182">
        <f>IF(H85="AFIII",VLOOKUP($D86,Sheet1!$A$34:$K$48,5,FALSE),IF(H85="UBIII",VLOOKUP($D86,Sheet1!$A$34:$K$48,8,FALSE),VLOOKUP($D86,Sheet1!$A$34:$K$48,2,FALSE)))</f>
        <v>2.39</v>
      </c>
      <c r="F86" s="182">
        <f>ROUNDDOWN((IF(H85="AFIII",VLOOKUP($D86,Sheet1!$A$34:$K$48,5,FALSE),IF(H85="UBIII",VLOOKUP($D86,Sheet1!$A$34:$K$48,8,FALSE),VLOOKUP($D86,Sheet1!$A$34:$K$48,2,FALSE))))*0.85,2)</f>
        <v>2.0299999999999998</v>
      </c>
      <c r="G86" s="182">
        <f t="shared" si="79"/>
        <v>2.39</v>
      </c>
      <c r="H86" s="183" t="s">
        <v>83</v>
      </c>
      <c r="I86" s="182">
        <f>I85-G86</f>
        <v>7.6099999999999994</v>
      </c>
      <c r="L86" s="182">
        <f t="shared" si="70"/>
        <v>-2.9899999999999998</v>
      </c>
      <c r="Q86" s="182">
        <f t="shared" ref="Q86:Q90" si="96">Q85-G86</f>
        <v>16.22</v>
      </c>
      <c r="U86" s="184">
        <f t="shared" si="84"/>
        <v>47.589999999999947</v>
      </c>
      <c r="V86" s="201">
        <f>IF(H85="AFIII",VLOOKUP(D86,Sheet1!$A$4:$H$18,5,FALSE),IF(H85="UBIII",VLOOKUP(D86,Sheet1!$A$4:$H$18,8,FALSE),IF(H85="",VLOOKUP(D86,Sheet1!$A$4:$H$18,2,FALSE),"0")))</f>
        <v>2120</v>
      </c>
      <c r="W86" s="201">
        <f t="shared" si="92"/>
        <v>0</v>
      </c>
      <c r="X86" s="208">
        <f t="shared" si="63"/>
        <v>8830</v>
      </c>
      <c r="Y86" s="171" t="str">
        <f t="shared" si="93"/>
        <v>SUCCESS</v>
      </c>
      <c r="Z86" s="171" t="str">
        <f t="shared" si="94"/>
        <v>ERROR</v>
      </c>
      <c r="AA86" s="185">
        <f t="shared" si="95"/>
        <v>148.58168064782032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324</v>
      </c>
      <c r="B87" s="113">
        <f t="shared" si="91"/>
        <v>30966</v>
      </c>
      <c r="C87" s="118">
        <f t="shared" si="71"/>
        <v>208.62000000000009</v>
      </c>
      <c r="D87" s="181" t="s">
        <v>245</v>
      </c>
      <c r="E87" s="182">
        <f>IF(H86="AFIII",VLOOKUP($D87,Sheet1!$A$34:$K$48,5,FALSE),IF(H86="UBIII",VLOOKUP($D87,Sheet1!$A$34:$K$48,8,FALSE),VLOOKUP($D87,Sheet1!$A$34:$K$48,2,FALSE)))</f>
        <v>2.39</v>
      </c>
      <c r="F87" s="182">
        <f>ROUNDDOWN((IF(H86="AFIII",VLOOKUP($D87,Sheet1!$A$34:$K$48,5,FALSE),IF(H86="UBIII",VLOOKUP($D87,Sheet1!$A$34:$K$48,8,FALSE),VLOOKUP($D87,Sheet1!$A$34:$K$48,2,FALSE))))*0.85,2)</f>
        <v>2.0299999999999998</v>
      </c>
      <c r="G87" s="182">
        <f t="shared" si="79"/>
        <v>2.39</v>
      </c>
      <c r="H87" s="183" t="s">
        <v>83</v>
      </c>
      <c r="I87" s="182">
        <f>I86-G87</f>
        <v>5.2199999999999989</v>
      </c>
      <c r="L87" s="182">
        <f t="shared" si="70"/>
        <v>-5.38</v>
      </c>
      <c r="Q87" s="182">
        <f t="shared" si="96"/>
        <v>13.829999999999998</v>
      </c>
      <c r="U87" s="184">
        <f t="shared" si="84"/>
        <v>45.199999999999946</v>
      </c>
      <c r="V87" s="201">
        <f>IF(H86="AFIII",VLOOKUP(D87,Sheet1!$A$4:$H$18,5,FALSE),IF(H86="UBIII",VLOOKUP(D87,Sheet1!$A$4:$H$18,8,FALSE),IF(H86="",VLOOKUP(D87,Sheet1!$A$4:$H$18,2,FALSE),"0")))</f>
        <v>2120</v>
      </c>
      <c r="W87" s="201">
        <f t="shared" si="92"/>
        <v>0</v>
      </c>
      <c r="X87" s="208">
        <f t="shared" si="63"/>
        <v>6710</v>
      </c>
      <c r="Y87" s="171" t="str">
        <f t="shared" si="93"/>
        <v>SUCCESS</v>
      </c>
      <c r="Z87" s="171" t="str">
        <f t="shared" si="94"/>
        <v>ERROR</v>
      </c>
      <c r="AA87" s="185">
        <f t="shared" si="95"/>
        <v>148.4325568018406</v>
      </c>
    </row>
    <row r="88" spans="1:27">
      <c r="A88" s="112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324</v>
      </c>
      <c r="B88" s="113">
        <f t="shared" si="91"/>
        <v>31290</v>
      </c>
      <c r="C88" s="118">
        <f t="shared" si="71"/>
        <v>211.01000000000008</v>
      </c>
      <c r="D88" s="181" t="s">
        <v>245</v>
      </c>
      <c r="E88" s="182">
        <f>IF(H87="AFIII",VLOOKUP($D88,Sheet1!$A$34:$K$48,5,FALSE),IF(H87="UBIII",VLOOKUP($D88,Sheet1!$A$34:$K$48,8,FALSE),VLOOKUP($D88,Sheet1!$A$34:$K$48,2,FALSE)))</f>
        <v>2.39</v>
      </c>
      <c r="F88" s="182">
        <f>ROUNDDOWN((IF(H87="AFIII",VLOOKUP($D88,Sheet1!$A$34:$K$48,5,FALSE),IF(H87="UBIII",VLOOKUP($D88,Sheet1!$A$34:$K$48,8,FALSE),VLOOKUP($D88,Sheet1!$A$34:$K$48,2,FALSE))))*0.85,2)</f>
        <v>2.0299999999999998</v>
      </c>
      <c r="G88" s="182">
        <f t="shared" si="79"/>
        <v>2.39</v>
      </c>
      <c r="H88" s="183" t="s">
        <v>83</v>
      </c>
      <c r="I88" s="182">
        <f>I87-G88</f>
        <v>2.8299999999999987</v>
      </c>
      <c r="L88" s="182">
        <f t="shared" si="70"/>
        <v>-7.77</v>
      </c>
      <c r="Q88" s="182">
        <f t="shared" si="96"/>
        <v>11.439999999999998</v>
      </c>
      <c r="U88" s="184">
        <f t="shared" si="84"/>
        <v>42.809999999999945</v>
      </c>
      <c r="V88" s="201">
        <f>IF(H87="AFIII",VLOOKUP(D88,Sheet1!$A$4:$H$18,5,FALSE),IF(H87="UBIII",VLOOKUP(D88,Sheet1!$A$4:$H$18,8,FALSE),IF(H87="",VLOOKUP(D88,Sheet1!$A$4:$H$18,2,FALSE),"0")))</f>
        <v>2120</v>
      </c>
      <c r="W88" s="201">
        <f t="shared" si="92"/>
        <v>0</v>
      </c>
      <c r="X88" s="208">
        <f t="shared" si="63"/>
        <v>4590</v>
      </c>
      <c r="Y88" s="171" t="str">
        <f t="shared" si="93"/>
        <v>SUCCESS</v>
      </c>
      <c r="Z88" s="171" t="str">
        <f t="shared" si="94"/>
        <v>ERROR</v>
      </c>
      <c r="AA88" s="185">
        <f t="shared" si="95"/>
        <v>148.28681105160888</v>
      </c>
    </row>
    <row r="89" spans="1:27">
      <c r="A89" s="11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324</v>
      </c>
      <c r="B89" s="113">
        <f t="shared" si="91"/>
        <v>31614</v>
      </c>
      <c r="C89" s="118">
        <f t="shared" si="71"/>
        <v>213.40000000000006</v>
      </c>
      <c r="D89" s="181" t="s">
        <v>1</v>
      </c>
      <c r="E89" s="182">
        <f>IF(H88="AFIII",VLOOKUP($D89,Sheet1!$A$34:$K$48,5,FALSE),IF(H88="UBIII",VLOOKUP($D89,Sheet1!$A$34:$K$48,8,FALSE),VLOOKUP($D89,Sheet1!$A$34:$K$48,2,FALSE)))</f>
        <v>2.39</v>
      </c>
      <c r="F89" s="182">
        <f>ROUNDDOWN((IF(H88="AFIII",VLOOKUP($D89,Sheet1!$A$34:$K$48,5,FALSE),IF(H88="UBIII",VLOOKUP($D89,Sheet1!$A$34:$K$48,8,FALSE),VLOOKUP($D89,Sheet1!$A$34:$K$48,2,FALSE))))*0.85,2)</f>
        <v>2.0299999999999998</v>
      </c>
      <c r="G89" s="182">
        <f t="shared" si="79"/>
        <v>2.39</v>
      </c>
      <c r="H89" s="183" t="s">
        <v>84</v>
      </c>
      <c r="I89" s="182">
        <v>10</v>
      </c>
      <c r="Q89" s="182">
        <f t="shared" si="96"/>
        <v>9.0499999999999972</v>
      </c>
      <c r="U89" s="184">
        <f t="shared" si="84"/>
        <v>40.419999999999945</v>
      </c>
      <c r="V89" s="201">
        <f>IF(H88="AFIII",VLOOKUP(D89,Sheet1!$A$4:$H$18,5,FALSE),IF(H88="UBIII",VLOOKUP(D89,Sheet1!$A$4:$H$18,8,FALSE),IF(H88="",VLOOKUP(D89,Sheet1!$A$4:$H$18,2,FALSE),"0")))</f>
        <v>2120</v>
      </c>
      <c r="W89" s="201">
        <f t="shared" si="92"/>
        <v>0</v>
      </c>
      <c r="X89" s="208">
        <f t="shared" si="63"/>
        <v>2470</v>
      </c>
      <c r="Y89" s="171" t="str">
        <f t="shared" si="93"/>
        <v>SUCCESS</v>
      </c>
      <c r="Z89" s="171" t="str">
        <f t="shared" si="94"/>
        <v>ERROR</v>
      </c>
      <c r="AA89" s="185">
        <f t="shared" si="95"/>
        <v>148.14432989690718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168</v>
      </c>
      <c r="B90" s="113">
        <f t="shared" si="91"/>
        <v>31782</v>
      </c>
      <c r="C90" s="118">
        <f t="shared" si="71"/>
        <v>215.79000000000005</v>
      </c>
      <c r="D90" s="181" t="s">
        <v>12</v>
      </c>
      <c r="E90" s="182">
        <f>IF(H89="AFIII",VLOOKUP($D90,Sheet1!$A$34:$K$48,5,FALSE),IF(H89="UBIII",VLOOKUP($D90,Sheet1!$A$34:$K$48,8,FALSE),VLOOKUP($D90,Sheet1!$A$34:$K$48,2,FALSE)))</f>
        <v>1.67</v>
      </c>
      <c r="F90" s="182">
        <f>ROUNDDOWN((IF(H89="AFIII",VLOOKUP($D90,Sheet1!$A$34:$K$48,5,FALSE),IF(H89="UBIII",VLOOKUP($D90,Sheet1!$A$34:$K$48,8,FALSE),VLOOKUP($D90,Sheet1!$A$34:$K$48,2,FALSE))))*0.85,2)</f>
        <v>1.41</v>
      </c>
      <c r="G90" s="182">
        <f t="shared" si="79"/>
        <v>2.39</v>
      </c>
      <c r="H90" s="183" t="s">
        <v>121</v>
      </c>
      <c r="I90" s="182">
        <v>10</v>
      </c>
      <c r="Q90" s="182">
        <f t="shared" si="96"/>
        <v>6.6599999999999966</v>
      </c>
      <c r="U90" s="184">
        <f t="shared" si="84"/>
        <v>38.029999999999944</v>
      </c>
      <c r="V90" s="201">
        <f>IF(H89="AFIII",VLOOKUP(D90,Sheet1!$A$4:$H$18,5,FALSE),IF(H89="UBIII",VLOOKUP(D90,Sheet1!$A$4:$H$18,8,FALSE),IF(H89="",VLOOKUP(D90,Sheet1!$A$4:$H$18,2,FALSE),"0")))</f>
        <v>265</v>
      </c>
      <c r="W90" s="201">
        <f t="shared" si="92"/>
        <v>0</v>
      </c>
      <c r="X90" s="208">
        <f t="shared" si="63"/>
        <v>2205</v>
      </c>
      <c r="Y90" s="171" t="str">
        <f t="shared" si="93"/>
        <v>SUCCESS</v>
      </c>
      <c r="Z90" s="171" t="str">
        <f t="shared" si="94"/>
        <v>ERROR</v>
      </c>
      <c r="AA90" s="185">
        <f t="shared" ref="AA90" si="97">B90/C90</f>
        <v>147.28207979980533</v>
      </c>
    </row>
    <row r="91" spans="1:27">
      <c r="A91" s="12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295</v>
      </c>
      <c r="B91" s="123">
        <f t="shared" si="91"/>
        <v>32077</v>
      </c>
      <c r="C91" s="124">
        <f t="shared" si="71"/>
        <v>218.65000000000006</v>
      </c>
      <c r="D91" s="186" t="s">
        <v>19</v>
      </c>
      <c r="E91" s="187">
        <f>IF(H90="AFIII",VLOOKUP($D91,Sheet1!$A$34:$K$48,5,FALSE),IF(H90="UBIII",VLOOKUP($D91,Sheet1!$A$34:$K$48,8,FALSE),VLOOKUP($D91,Sheet1!$A$34:$K$48,2,FALSE)))</f>
        <v>2.86</v>
      </c>
      <c r="F91" s="187">
        <f>ROUNDDOWN((IF(H90="AFIII",VLOOKUP($D91,Sheet1!$A$34:$K$48,5,FALSE),IF(H90="UBIII",VLOOKUP($D91,Sheet1!$A$34:$K$48,8,FALSE),VLOOKUP($D91,Sheet1!$A$34:$K$48,2,FALSE))))*0.85,2)</f>
        <v>2.4300000000000002</v>
      </c>
      <c r="G91" s="187">
        <f t="shared" si="79"/>
        <v>2.86</v>
      </c>
      <c r="H91" s="188" t="s">
        <v>121</v>
      </c>
      <c r="I91" s="187">
        <f>I90-G91</f>
        <v>7.1400000000000006</v>
      </c>
      <c r="J91" s="188"/>
      <c r="K91" s="187"/>
      <c r="L91" s="187"/>
      <c r="M91" s="188"/>
      <c r="N91" s="187"/>
      <c r="O91" s="187"/>
      <c r="P91" s="188" t="s">
        <v>16</v>
      </c>
      <c r="Q91" s="187">
        <v>21</v>
      </c>
      <c r="R91" s="187"/>
      <c r="S91" s="188"/>
      <c r="T91" s="187"/>
      <c r="U91" s="189">
        <f t="shared" si="84"/>
        <v>35.169999999999945</v>
      </c>
      <c r="V91" s="209">
        <f>IF(H90="AFIII",VLOOKUP(D91,Sheet1!$A$4:$H$18,5,FALSE),IF(H90="UBIII",VLOOKUP(D91,Sheet1!$A$4:$H$18,8,FALSE),IF(H90="",VLOOKUP(D91,Sheet1!$A$4:$H$18,2,FALSE),"0")))</f>
        <v>1060</v>
      </c>
      <c r="W91" s="209">
        <f t="shared" si="92"/>
        <v>7033</v>
      </c>
      <c r="X91" s="210">
        <f t="shared" si="63"/>
        <v>8178</v>
      </c>
      <c r="Y91" s="190" t="str">
        <f t="shared" si="93"/>
        <v>SUCCESS</v>
      </c>
      <c r="Z91" s="190" t="str">
        <f t="shared" si="94"/>
        <v>ERROR</v>
      </c>
      <c r="AA91" s="185">
        <f t="shared" ref="AA91:AA154" si="98">B91/C91</f>
        <v>146.70477932769262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168</v>
      </c>
      <c r="B92" s="113">
        <f t="shared" si="91"/>
        <v>32245</v>
      </c>
      <c r="C92" s="118">
        <f t="shared" si="71"/>
        <v>221.04000000000005</v>
      </c>
      <c r="D92" s="181" t="s">
        <v>4</v>
      </c>
      <c r="E92" s="182">
        <f>IF(H91="AFIII",VLOOKUP($D92,Sheet1!$A$34:$K$48,5,FALSE),IF(H91="UBIII",VLOOKUP($D92,Sheet1!$A$34:$K$48,8,FALSE),VLOOKUP($D92,Sheet1!$A$34:$K$48,2,FALSE)))</f>
        <v>1.67</v>
      </c>
      <c r="F92" s="182">
        <f>ROUNDDOWN((IF(H91="AFIII",VLOOKUP($D92,Sheet1!$A$34:$K$48,5,FALSE),IF(H91="UBIII",VLOOKUP($D92,Sheet1!$A$34:$K$48,8,FALSE),VLOOKUP($D92,Sheet1!$A$34:$K$48,2,FALSE))))*0.85,2)</f>
        <v>1.41</v>
      </c>
      <c r="G92" s="182">
        <f t="shared" si="79"/>
        <v>2.39</v>
      </c>
      <c r="H92" s="183" t="s">
        <v>84</v>
      </c>
      <c r="I92" s="182">
        <v>10</v>
      </c>
      <c r="J92" s="183" t="s">
        <v>105</v>
      </c>
      <c r="K92" s="182">
        <v>30</v>
      </c>
      <c r="L92" s="182">
        <v>90</v>
      </c>
      <c r="M92" s="183" t="s">
        <v>96</v>
      </c>
      <c r="N92" s="182">
        <v>20</v>
      </c>
      <c r="O92" s="182">
        <v>180</v>
      </c>
      <c r="Q92" s="182">
        <f>Q91-G92</f>
        <v>18.61</v>
      </c>
      <c r="V92" s="201">
        <f>IF(H91="AFIII",VLOOKUP(D92,Sheet1!$A$4:$H$18,5,FALSE),IF(H91="UBIII",VLOOKUP(D92,Sheet1!$A$4:$H$18,8,FALSE),IF(H91="",VLOOKUP(D92,Sheet1!$A$4:$H$18,2,FALSE),"0")))</f>
        <v>442</v>
      </c>
      <c r="W92" s="201">
        <f t="shared" si="92"/>
        <v>7033</v>
      </c>
      <c r="X92" s="208">
        <f t="shared" si="63"/>
        <v>10950</v>
      </c>
      <c r="Y92" s="171" t="str">
        <f t="shared" si="93"/>
        <v>SUCCESS</v>
      </c>
      <c r="Z92" s="171" t="str">
        <f t="shared" si="94"/>
        <v>ERROR</v>
      </c>
      <c r="AA92" s="185">
        <f t="shared" si="98"/>
        <v>145.87857401375314</v>
      </c>
    </row>
    <row r="93" spans="1:27">
      <c r="A93" s="112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604</v>
      </c>
      <c r="B93" s="113">
        <f t="shared" si="91"/>
        <v>32849</v>
      </c>
      <c r="C93" s="118">
        <f t="shared" si="71"/>
        <v>223.90000000000006</v>
      </c>
      <c r="D93" s="181" t="s">
        <v>6</v>
      </c>
      <c r="E93" s="182">
        <f>IF(H92="AFIII",VLOOKUP($D93,Sheet1!$A$34:$K$48,5,FALSE),IF(H92="UBIII",VLOOKUP($D93,Sheet1!$A$34:$K$48,8,FALSE),VLOOKUP($D93,Sheet1!$A$34:$K$48,2,FALSE)))</f>
        <v>2.86</v>
      </c>
      <c r="F93" s="182">
        <f>ROUNDDOWN((IF(H92="AFIII",VLOOKUP($D93,Sheet1!$A$34:$K$48,5,FALSE),IF(H92="UBIII",VLOOKUP($D93,Sheet1!$A$34:$K$48,8,FALSE),VLOOKUP($D93,Sheet1!$A$34:$K$48,2,FALSE))))*0.85,2)</f>
        <v>2.4300000000000002</v>
      </c>
      <c r="G93" s="182">
        <f>IF(M92="迅速",IF(S92="黒魔紋",$F$1,$E$1),IF(S92="黒魔紋",IF(F93&lt;$F$1,$F$1,F93),IF(E93&lt;$E$1,$E$1,E93)))</f>
        <v>2.86</v>
      </c>
      <c r="H93" s="183" t="s">
        <v>84</v>
      </c>
      <c r="I93" s="182">
        <f>I92-G93</f>
        <v>7.1400000000000006</v>
      </c>
      <c r="K93" s="182">
        <f>K92-G93</f>
        <v>27.14</v>
      </c>
      <c r="L93" s="182">
        <f>L92-G93</f>
        <v>87.14</v>
      </c>
      <c r="N93" s="182">
        <f>N92-G93</f>
        <v>17.14</v>
      </c>
      <c r="Q93" s="182">
        <f t="shared" ref="Q93:Q102" si="99">Q92-G93</f>
        <v>15.75</v>
      </c>
      <c r="V93" s="201">
        <f>IF(H92="AFIII",VLOOKUP(D93,Sheet1!$A$4:$H$18,5,FALSE),IF(H92="UBIII",VLOOKUP(D93,Sheet1!$A$4:$H$18,8,FALSE),IF(H92="",VLOOKUP(D93,Sheet1!$A$4:$H$18,2,FALSE),"0")))</f>
        <v>1768</v>
      </c>
      <c r="W93" s="201">
        <f t="shared" si="92"/>
        <v>0</v>
      </c>
      <c r="X93" s="208">
        <f t="shared" si="63"/>
        <v>9182</v>
      </c>
      <c r="Y93" s="171" t="str">
        <f t="shared" si="93"/>
        <v>SUCCESS</v>
      </c>
      <c r="Z93" s="171" t="str">
        <f t="shared" si="94"/>
        <v>SUCCESS</v>
      </c>
      <c r="AA93" s="185">
        <f t="shared" si="98"/>
        <v>146.71281822242068</v>
      </c>
    </row>
    <row r="94" spans="1:27">
      <c r="A94" s="112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604</v>
      </c>
      <c r="B94" s="113">
        <f t="shared" si="91"/>
        <v>33453</v>
      </c>
      <c r="C94" s="118">
        <f t="shared" si="71"/>
        <v>226.76000000000008</v>
      </c>
      <c r="D94" s="181" t="s">
        <v>6</v>
      </c>
      <c r="E94" s="182">
        <f>IF(H93="AFIII",VLOOKUP($D94,Sheet1!$A$34:$K$48,5,FALSE),IF(H93="UBIII",VLOOKUP($D94,Sheet1!$A$34:$K$48,8,FALSE),VLOOKUP($D94,Sheet1!$A$34:$K$48,2,FALSE)))</f>
        <v>2.86</v>
      </c>
      <c r="F94" s="182">
        <f>ROUNDDOWN((IF(H93="AFIII",VLOOKUP($D94,Sheet1!$A$34:$K$48,5,FALSE),IF(H93="UBIII",VLOOKUP($D94,Sheet1!$A$34:$K$48,8,FALSE),VLOOKUP($D94,Sheet1!$A$34:$K$48,2,FALSE))))*0.85,2)</f>
        <v>2.4300000000000002</v>
      </c>
      <c r="G94" s="182">
        <f t="shared" ref="G94:G100" si="100">IF(M93="迅速",IF(S93="黒魔紋",$F$1,$E$1),IF(S93="黒魔紋",IF(F94&lt;$F$1,$F$1,F94),IF(E94&lt;$E$1,$E$1,E94)))</f>
        <v>2.86</v>
      </c>
      <c r="H94" s="183" t="s">
        <v>84</v>
      </c>
      <c r="I94" s="182">
        <f t="shared" ref="I94" si="101">I93-G94</f>
        <v>4.2800000000000011</v>
      </c>
      <c r="K94" s="182">
        <f t="shared" ref="K94:K95" si="102">K93-G94</f>
        <v>24.28</v>
      </c>
      <c r="L94" s="182">
        <f t="shared" ref="L94:L95" si="103">L93-G94</f>
        <v>84.28</v>
      </c>
      <c r="N94" s="182">
        <f>N93-G94</f>
        <v>14.280000000000001</v>
      </c>
      <c r="P94" s="183" t="s">
        <v>246</v>
      </c>
      <c r="Q94" s="182">
        <f t="shared" si="99"/>
        <v>12.89</v>
      </c>
      <c r="R94" s="182">
        <v>60</v>
      </c>
      <c r="V94" s="201">
        <f>IF(H93="AFIII",VLOOKUP(D94,Sheet1!$A$4:$H$18,5,FALSE),IF(H93="UBIII",VLOOKUP(D94,Sheet1!$A$4:$H$18,8,FALSE),IF(H93="",VLOOKUP(D94,Sheet1!$A$4:$H$18,2,FALSE),"0")))</f>
        <v>1768</v>
      </c>
      <c r="W94" s="201">
        <f t="shared" si="92"/>
        <v>0</v>
      </c>
      <c r="X94" s="208">
        <f t="shared" si="63"/>
        <v>7414</v>
      </c>
      <c r="Y94" s="171" t="str">
        <f t="shared" si="93"/>
        <v>SUCCESS</v>
      </c>
      <c r="Z94" s="171" t="str">
        <f t="shared" si="94"/>
        <v>SUCCESS</v>
      </c>
      <c r="AA94" s="185">
        <f t="shared" si="98"/>
        <v>147.52601869818307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388</v>
      </c>
      <c r="B95" s="113">
        <f t="shared" si="91"/>
        <v>33841</v>
      </c>
      <c r="C95" s="118">
        <f t="shared" si="71"/>
        <v>229.15000000000006</v>
      </c>
      <c r="D95" s="181" t="s">
        <v>1</v>
      </c>
      <c r="E95" s="182">
        <f>IF(H94="AFIII",VLOOKUP($D95,Sheet1!$A$34:$K$48,5,FALSE),IF(H94="UBIII",VLOOKUP($D95,Sheet1!$A$34:$K$48,8,FALSE),VLOOKUP($D95,Sheet1!$A$34:$K$48,2,FALSE)))</f>
        <v>2.39</v>
      </c>
      <c r="F95" s="182">
        <f>ROUNDDOWN((IF(H94="AFIII",VLOOKUP($D95,Sheet1!$A$34:$K$48,5,FALSE),IF(H94="UBIII",VLOOKUP($D95,Sheet1!$A$34:$K$48,8,FALSE),VLOOKUP($D95,Sheet1!$A$34:$K$48,2,FALSE))))*0.85,2)</f>
        <v>2.0299999999999998</v>
      </c>
      <c r="G95" s="182">
        <f t="shared" si="100"/>
        <v>2.39</v>
      </c>
      <c r="H95" s="183" t="s">
        <v>84</v>
      </c>
      <c r="I95" s="182">
        <v>10</v>
      </c>
      <c r="K95" s="182">
        <f t="shared" si="102"/>
        <v>21.89</v>
      </c>
      <c r="L95" s="182">
        <f t="shared" si="103"/>
        <v>81.89</v>
      </c>
      <c r="N95" s="182">
        <f t="shared" ref="N95" si="104">N94-G95</f>
        <v>11.89</v>
      </c>
      <c r="Q95" s="182">
        <f t="shared" si="99"/>
        <v>10.5</v>
      </c>
      <c r="R95" s="182">
        <f t="shared" ref="R95:R98" si="105">R94-G95</f>
        <v>57.61</v>
      </c>
      <c r="V95" s="201">
        <f>IF(H94="AFIII",VLOOKUP(D95,Sheet1!$A$4:$H$18,5,FALSE),IF(H94="UBIII",VLOOKUP(D95,Sheet1!$A$4:$H$18,8,FALSE),IF(H94="",VLOOKUP(D95,Sheet1!$A$4:$H$18,2,FALSE),"0")))</f>
        <v>2120</v>
      </c>
      <c r="W95" s="201">
        <f t="shared" si="92"/>
        <v>0</v>
      </c>
      <c r="X95" s="208">
        <f t="shared" si="63"/>
        <v>5294</v>
      </c>
      <c r="Y95" s="171" t="str">
        <f t="shared" si="93"/>
        <v>SUCCESS</v>
      </c>
      <c r="Z95" s="171" t="str">
        <f t="shared" si="94"/>
        <v>SUCCESS</v>
      </c>
      <c r="AA95" s="185">
        <f t="shared" si="98"/>
        <v>147.68055858607894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604</v>
      </c>
      <c r="B96" s="113">
        <f t="shared" si="91"/>
        <v>34445</v>
      </c>
      <c r="C96" s="118">
        <f t="shared" si="71"/>
        <v>232.01000000000008</v>
      </c>
      <c r="D96" s="181" t="s">
        <v>6</v>
      </c>
      <c r="E96" s="182">
        <f>IF(H95="AFIII",VLOOKUP($D96,Sheet1!$A$34:$K$48,5,FALSE),IF(H95="UBIII",VLOOKUP($D96,Sheet1!$A$34:$K$48,8,FALSE),VLOOKUP($D96,Sheet1!$A$34:$K$48,2,FALSE)))</f>
        <v>2.86</v>
      </c>
      <c r="F96" s="182">
        <f>ROUNDDOWN((IF(H95="AFIII",VLOOKUP($D96,Sheet1!$A$34:$K$48,5,FALSE),IF(H95="UBIII",VLOOKUP($D96,Sheet1!$A$34:$K$48,8,FALSE),VLOOKUP($D96,Sheet1!$A$34:$K$48,2,FALSE))))*0.85,2)</f>
        <v>2.4300000000000002</v>
      </c>
      <c r="G96" s="182">
        <f t="shared" si="100"/>
        <v>2.86</v>
      </c>
      <c r="H96" s="183" t="s">
        <v>84</v>
      </c>
      <c r="I96" s="182">
        <f>I95-G96</f>
        <v>7.1400000000000006</v>
      </c>
      <c r="K96" s="182">
        <f>K95-G96</f>
        <v>19.03</v>
      </c>
      <c r="L96" s="182">
        <f>L95-G96</f>
        <v>79.03</v>
      </c>
      <c r="N96" s="182">
        <f>N95-G96</f>
        <v>9.0300000000000011</v>
      </c>
      <c r="Q96" s="182">
        <f t="shared" si="99"/>
        <v>7.6400000000000006</v>
      </c>
      <c r="R96" s="182">
        <f t="shared" si="105"/>
        <v>54.75</v>
      </c>
      <c r="V96" s="201">
        <f>IF(H95="AFIII",VLOOKUP(D96,Sheet1!$A$4:$H$18,5,FALSE),IF(H95="UBIII",VLOOKUP(D96,Sheet1!$A$4:$H$18,8,FALSE),IF(H95="",VLOOKUP(D96,Sheet1!$A$4:$H$18,2,FALSE),"0")))</f>
        <v>1768</v>
      </c>
      <c r="W96" s="201">
        <f t="shared" si="92"/>
        <v>0</v>
      </c>
      <c r="X96" s="208">
        <f t="shared" si="63"/>
        <v>3526</v>
      </c>
      <c r="Y96" s="171" t="str">
        <f t="shared" si="93"/>
        <v>SUCCESS</v>
      </c>
      <c r="Z96" s="171" t="str">
        <f t="shared" si="94"/>
        <v>SUCCESS</v>
      </c>
      <c r="AA96" s="185">
        <f t="shared" si="98"/>
        <v>148.46342830050423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604</v>
      </c>
      <c r="B97" s="113">
        <f t="shared" si="91"/>
        <v>35049</v>
      </c>
      <c r="C97" s="118">
        <f t="shared" si="71"/>
        <v>234.87000000000009</v>
      </c>
      <c r="D97" s="181" t="s">
        <v>6</v>
      </c>
      <c r="E97" s="182">
        <f>IF(H96="AFIII",VLOOKUP($D97,Sheet1!$A$34:$K$48,5,FALSE),IF(H96="UBIII",VLOOKUP($D97,Sheet1!$A$34:$K$48,8,FALSE),VLOOKUP($D97,Sheet1!$A$34:$K$48,2,FALSE)))</f>
        <v>2.86</v>
      </c>
      <c r="F97" s="182">
        <f>ROUNDDOWN((IF(H96="AFIII",VLOOKUP($D97,Sheet1!$A$34:$K$48,5,FALSE),IF(H96="UBIII",VLOOKUP($D97,Sheet1!$A$34:$K$48,8,FALSE),VLOOKUP($D97,Sheet1!$A$34:$K$48,2,FALSE))))*0.85,2)</f>
        <v>2.4300000000000002</v>
      </c>
      <c r="G97" s="182">
        <f t="shared" si="100"/>
        <v>2.86</v>
      </c>
      <c r="H97" s="183" t="s">
        <v>84</v>
      </c>
      <c r="I97" s="182">
        <f>I96-G97</f>
        <v>4.2800000000000011</v>
      </c>
      <c r="K97" s="182">
        <f t="shared" ref="K97:K102" si="106">K96-G97</f>
        <v>16.170000000000002</v>
      </c>
      <c r="L97" s="182">
        <f t="shared" ref="L97:L129" si="107">L96-G97</f>
        <v>76.17</v>
      </c>
      <c r="M97" s="183" t="s">
        <v>102</v>
      </c>
      <c r="N97" s="182">
        <f t="shared" ref="N97:N102" si="108">N96-G97</f>
        <v>6.1700000000000017</v>
      </c>
      <c r="O97" s="182">
        <v>60</v>
      </c>
      <c r="Q97" s="182">
        <f t="shared" si="99"/>
        <v>4.7800000000000011</v>
      </c>
      <c r="R97" s="182">
        <f t="shared" si="105"/>
        <v>51.89</v>
      </c>
      <c r="V97" s="201">
        <f>IF(H96="AFIII",VLOOKUP(D97,Sheet1!$A$4:$H$18,5,FALSE),IF(H96="UBIII",VLOOKUP(D97,Sheet1!$A$4:$H$18,8,FALSE),IF(H96="",VLOOKUP(D97,Sheet1!$A$4:$H$18,2,FALSE),"0")))</f>
        <v>1768</v>
      </c>
      <c r="W97" s="201">
        <f t="shared" si="92"/>
        <v>0</v>
      </c>
      <c r="X97" s="208">
        <f t="shared" si="63"/>
        <v>1758</v>
      </c>
      <c r="Y97" s="171" t="str">
        <f t="shared" si="93"/>
        <v>SUCCESS</v>
      </c>
      <c r="Z97" s="171" t="str">
        <f t="shared" si="94"/>
        <v>SUCCESS</v>
      </c>
      <c r="AA97" s="185">
        <f t="shared" si="98"/>
        <v>149.22723208583466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561</v>
      </c>
      <c r="B98" s="113">
        <f t="shared" si="91"/>
        <v>35610</v>
      </c>
      <c r="C98" s="118">
        <f t="shared" si="71"/>
        <v>237.26000000000008</v>
      </c>
      <c r="D98" s="181" t="s">
        <v>10</v>
      </c>
      <c r="E98" s="182">
        <f>IF(H97="AFIII",VLOOKUP($D98,Sheet1!$A$34:$K$48,5,FALSE),IF(H97="UBIII",VLOOKUP($D98,Sheet1!$A$34:$K$48,8,FALSE),VLOOKUP($D98,Sheet1!$A$34:$K$48,2,FALSE)))</f>
        <v>3.82</v>
      </c>
      <c r="F98" s="182">
        <f>ROUNDDOWN((IF(H97="AFIII",VLOOKUP($D98,Sheet1!$A$34:$K$48,5,FALSE),IF(H97="UBIII",VLOOKUP($D98,Sheet1!$A$34:$K$48,8,FALSE),VLOOKUP($D98,Sheet1!$A$34:$K$48,2,FALSE))))*0.85,2)</f>
        <v>3.24</v>
      </c>
      <c r="G98" s="182">
        <f t="shared" si="100"/>
        <v>2.39</v>
      </c>
      <c r="H98" s="183" t="s">
        <v>84</v>
      </c>
      <c r="I98" s="182">
        <v>10</v>
      </c>
      <c r="K98" s="182">
        <f t="shared" si="106"/>
        <v>13.780000000000001</v>
      </c>
      <c r="L98" s="182">
        <f t="shared" si="107"/>
        <v>73.78</v>
      </c>
      <c r="M98" s="183" t="s">
        <v>100</v>
      </c>
      <c r="N98" s="182">
        <f t="shared" si="108"/>
        <v>3.7800000000000016</v>
      </c>
      <c r="O98" s="182">
        <v>180</v>
      </c>
      <c r="Q98" s="182">
        <f t="shared" si="99"/>
        <v>2.390000000000001</v>
      </c>
      <c r="R98" s="182">
        <f t="shared" si="105"/>
        <v>49.5</v>
      </c>
      <c r="V98" s="201">
        <f>IF(H97="AFIII",VLOOKUP(D98,Sheet1!$A$4:$H$18,5,FALSE),IF(H97="UBIII",VLOOKUP(D98,Sheet1!$A$4:$H$18,8,FALSE),IF(H97="",VLOOKUP(D98,Sheet1!$A$4:$H$18,2,FALSE),"0")))</f>
        <v>884</v>
      </c>
      <c r="W98" s="201">
        <f t="shared" si="92"/>
        <v>0</v>
      </c>
      <c r="X98" s="208">
        <f t="shared" si="63"/>
        <v>3417</v>
      </c>
      <c r="Y98" s="171" t="str">
        <f t="shared" si="93"/>
        <v>SUCCESS</v>
      </c>
      <c r="Z98" s="171" t="str">
        <f t="shared" si="94"/>
        <v>SUCCESS</v>
      </c>
      <c r="AA98" s="185">
        <f t="shared" si="98"/>
        <v>150.08851049481578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518</v>
      </c>
      <c r="B99" s="113">
        <f t="shared" si="91"/>
        <v>36128</v>
      </c>
      <c r="C99" s="118">
        <f>C98+G99</f>
        <v>239.65000000000006</v>
      </c>
      <c r="D99" s="181" t="s">
        <v>129</v>
      </c>
      <c r="E99" s="182">
        <f>IF(H98="AFIII",VLOOKUP($D99,Sheet1!$A$34:$K$48,5,FALSE),IF(H98="UBIII",VLOOKUP($D99,Sheet1!$A$34:$K$48,8,FALSE),VLOOKUP($D99,Sheet1!$A$34:$K$48,2,FALSE)))</f>
        <v>2.39</v>
      </c>
      <c r="F99" s="182">
        <f>ROUNDDOWN((IF(H98="AFIII",VLOOKUP($D99,Sheet1!$A$34:$K$48,5,FALSE),IF(H98="UBIII",VLOOKUP($D99,Sheet1!$A$34:$K$48,8,FALSE),VLOOKUP($D99,Sheet1!$A$34:$K$48,2,FALSE))))*0.85,2)</f>
        <v>2.0299999999999998</v>
      </c>
      <c r="G99" s="182">
        <f t="shared" si="100"/>
        <v>2.39</v>
      </c>
      <c r="H99" s="183" t="s">
        <v>84</v>
      </c>
      <c r="I99" s="182">
        <v>10</v>
      </c>
      <c r="K99" s="182">
        <f t="shared" si="106"/>
        <v>11.39</v>
      </c>
      <c r="L99" s="182">
        <f t="shared" si="107"/>
        <v>71.39</v>
      </c>
      <c r="M99" s="183" t="s">
        <v>228</v>
      </c>
      <c r="N99" s="182">
        <f t="shared" si="108"/>
        <v>1.3900000000000015</v>
      </c>
      <c r="Q99" s="182">
        <f t="shared" si="99"/>
        <v>0</v>
      </c>
      <c r="R99" s="182">
        <f>R98-G99</f>
        <v>47.11</v>
      </c>
      <c r="V99" s="201">
        <f>IF(H98="AFIII",VLOOKUP(D99,Sheet1!$A$4:$H$18,5,FALSE),IF(H98="UBIII",VLOOKUP(D99,Sheet1!$A$4:$H$18,8,FALSE),IF(H98="",VLOOKUP(D99,Sheet1!$A$4:$H$18,2,FALSE),"0")))</f>
        <v>0</v>
      </c>
      <c r="W99" s="201">
        <f t="shared" si="92"/>
        <v>0</v>
      </c>
      <c r="X99" s="208">
        <f t="shared" si="63"/>
        <v>3417</v>
      </c>
      <c r="Y99" s="171" t="str">
        <f t="shared" si="93"/>
        <v>SUCCESS</v>
      </c>
      <c r="Z99" s="171" t="str">
        <f t="shared" si="94"/>
        <v>SUCCESS</v>
      </c>
      <c r="AA99" s="185">
        <f t="shared" si="98"/>
        <v>150.7531817233465</v>
      </c>
    </row>
    <row r="100" spans="1:27">
      <c r="A100" s="112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504</v>
      </c>
      <c r="B100" s="113">
        <f t="shared" si="91"/>
        <v>36632</v>
      </c>
      <c r="C100" s="118">
        <f>C99+G100</f>
        <v>242.51000000000008</v>
      </c>
      <c r="D100" s="181" t="s">
        <v>6</v>
      </c>
      <c r="E100" s="182">
        <f>IF(H99="AFIII",VLOOKUP($D100,Sheet1!$A$34:$K$48,5,FALSE),IF(H99="UBIII",VLOOKUP($D100,Sheet1!$A$34:$K$48,8,FALSE),VLOOKUP($D100,Sheet1!$A$34:$K$48,2,FALSE)))</f>
        <v>2.86</v>
      </c>
      <c r="F100" s="182">
        <f>ROUNDDOWN((IF(H99="AFIII",VLOOKUP($D100,Sheet1!$A$34:$K$48,5,FALSE),IF(H99="UBIII",VLOOKUP($D100,Sheet1!$A$34:$K$48,8,FALSE),VLOOKUP($D100,Sheet1!$A$34:$K$48,2,FALSE))))*0.85,2)</f>
        <v>2.4300000000000002</v>
      </c>
      <c r="G100" s="182">
        <f t="shared" si="100"/>
        <v>2.86</v>
      </c>
      <c r="H100" s="183" t="s">
        <v>84</v>
      </c>
      <c r="I100" s="182">
        <f>I99-G100</f>
        <v>7.1400000000000006</v>
      </c>
      <c r="K100" s="182">
        <f t="shared" si="106"/>
        <v>8.5300000000000011</v>
      </c>
      <c r="L100" s="182">
        <f t="shared" si="107"/>
        <v>68.53</v>
      </c>
      <c r="N100" s="182">
        <f t="shared" si="108"/>
        <v>-1.4699999999999984</v>
      </c>
      <c r="Q100" s="182">
        <f t="shared" si="99"/>
        <v>-2.86</v>
      </c>
      <c r="R100" s="182">
        <f>R99-G100</f>
        <v>44.25</v>
      </c>
      <c r="V100" s="201">
        <f>IF(H99="AFIII",VLOOKUP(D100,Sheet1!$A$4:$H$18,5,FALSE),IF(H99="UBIII",VLOOKUP(D100,Sheet1!$A$4:$H$18,8,FALSE),IF(H99="",VLOOKUP(D100,Sheet1!$A$4:$H$18,2,FALSE),"0")))</f>
        <v>1768</v>
      </c>
      <c r="W100" s="201">
        <f t="shared" si="92"/>
        <v>0</v>
      </c>
      <c r="X100" s="208">
        <f>IF(D100="フレア",IF(M100="コンバート",$X$1,0),IF(X99-V100+W100&gt;$X$3,$X$3-V100,X99-V100+W100))</f>
        <v>1649</v>
      </c>
      <c r="Y100" s="171" t="str">
        <f t="shared" si="93"/>
        <v>SUCCESS</v>
      </c>
      <c r="Z100" s="171" t="str">
        <f t="shared" si="94"/>
        <v>SUCCESS</v>
      </c>
      <c r="AA100" s="185">
        <f t="shared" si="98"/>
        <v>151.05356480145144</v>
      </c>
    </row>
    <row r="101" spans="1:27">
      <c r="A101" s="112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168</v>
      </c>
      <c r="B101" s="113">
        <f t="shared" si="91"/>
        <v>36800</v>
      </c>
      <c r="C101" s="118">
        <f t="shared" ref="C101:C128" si="109">C100+G101</f>
        <v>244.90000000000006</v>
      </c>
      <c r="D101" s="181" t="s">
        <v>12</v>
      </c>
      <c r="E101" s="182">
        <f>IF(H100="AFIII",VLOOKUP($D101,Sheet1!$A$34:$K$48,5,FALSE),IF(H100="UBIII",VLOOKUP($D101,Sheet1!$A$34:$K$48,8,FALSE),VLOOKUP($D101,Sheet1!$A$34:$K$48,2,FALSE)))</f>
        <v>1.67</v>
      </c>
      <c r="F101" s="182">
        <f>ROUNDDOWN((IF(H100="AFIII",VLOOKUP($D101,Sheet1!$A$34:$K$48,5,FALSE),IF(H100="UBIII",VLOOKUP($D101,Sheet1!$A$34:$K$48,8,FALSE),VLOOKUP($D101,Sheet1!$A$34:$K$48,2,FALSE))))*0.85,2)</f>
        <v>1.41</v>
      </c>
      <c r="G101" s="182">
        <f>IF(M100="迅速",IF(S100="黒魔紋",$F$1,$E$1),IF(S100="黒魔紋",IF(F101&lt;$F$1,$F$1,F101),IF(E101&lt;$E$1,$E$1,E101)))</f>
        <v>2.39</v>
      </c>
      <c r="H101" s="183" t="s">
        <v>122</v>
      </c>
      <c r="I101" s="182">
        <v>10</v>
      </c>
      <c r="K101" s="182">
        <f t="shared" si="106"/>
        <v>6.1400000000000006</v>
      </c>
      <c r="L101" s="182">
        <f t="shared" si="107"/>
        <v>66.14</v>
      </c>
      <c r="N101" s="182">
        <f t="shared" si="108"/>
        <v>-3.8599999999999985</v>
      </c>
      <c r="O101" s="182">
        <f>O97-G98-G99-G101-G100</f>
        <v>49.97</v>
      </c>
      <c r="Q101" s="182">
        <f t="shared" si="99"/>
        <v>-5.25</v>
      </c>
      <c r="R101" s="182">
        <f t="shared" ref="R101:R115" si="110">R100-G101</f>
        <v>41.86</v>
      </c>
      <c r="V101" s="201">
        <f>IF(H100="AFIII",VLOOKUP(D101,Sheet1!$A$4:$H$18,5,FALSE),IF(H100="UBIII",VLOOKUP(D101,Sheet1!$A$4:$H$18,8,FALSE),IF(H100="",VLOOKUP(D101,Sheet1!$A$4:$H$18,2,FALSE),"0")))</f>
        <v>265</v>
      </c>
      <c r="W101" s="201">
        <f t="shared" si="92"/>
        <v>0</v>
      </c>
      <c r="X101" s="208">
        <f t="shared" ref="X101:X164" si="111">IF(D101="フレア",IF(M101="コンバート",$X$1,0),IF(X100-V101+W101&gt;$X$3,$X$3-V101,X100-V101+W101))</f>
        <v>1384</v>
      </c>
      <c r="Y101" s="171" t="str">
        <f t="shared" si="93"/>
        <v>SUCCESS</v>
      </c>
      <c r="Z101" s="171" t="str">
        <f t="shared" si="94"/>
        <v>SUCCESS</v>
      </c>
      <c r="AA101" s="185">
        <f t="shared" si="98"/>
        <v>150.2654144548795</v>
      </c>
    </row>
    <row r="102" spans="1:27">
      <c r="A102" s="112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295</v>
      </c>
      <c r="B102" s="113">
        <f t="shared" si="91"/>
        <v>37095</v>
      </c>
      <c r="C102" s="118">
        <f t="shared" si="109"/>
        <v>247.76000000000008</v>
      </c>
      <c r="D102" s="181" t="s">
        <v>19</v>
      </c>
      <c r="E102" s="182">
        <f>IF(H101="AFIII",VLOOKUP($D102,Sheet1!$A$34:$K$48,5,FALSE),IF(H101="UBIII",VLOOKUP($D102,Sheet1!$A$34:$K$48,8,FALSE),VLOOKUP($D102,Sheet1!$A$34:$K$48,2,FALSE)))</f>
        <v>2.86</v>
      </c>
      <c r="F102" s="182">
        <f>ROUNDDOWN((IF(H101="AFIII",VLOOKUP($D102,Sheet1!$A$34:$K$48,5,FALSE),IF(H101="UBIII",VLOOKUP($D102,Sheet1!$A$34:$K$48,8,FALSE),VLOOKUP($D102,Sheet1!$A$34:$K$48,2,FALSE))))*0.85,2)</f>
        <v>2.4300000000000002</v>
      </c>
      <c r="G102" s="182">
        <f>IF(M101="迅速",IF(S101="黒魔紋",$F$1,$E$1),IF(S101="黒魔紋",IF(F102&lt;$F$1,$F$1,F102),IF(E102&lt;$E$1,$E$1,E102)))</f>
        <v>2.86</v>
      </c>
      <c r="H102" s="183" t="s">
        <v>122</v>
      </c>
      <c r="I102" s="182">
        <f t="shared" ref="I102:I103" si="112">I101-G102</f>
        <v>7.1400000000000006</v>
      </c>
      <c r="K102" s="182">
        <f t="shared" si="106"/>
        <v>3.2800000000000007</v>
      </c>
      <c r="L102" s="182">
        <f t="shared" si="107"/>
        <v>63.28</v>
      </c>
      <c r="N102" s="182">
        <f t="shared" si="108"/>
        <v>-6.7199999999999989</v>
      </c>
      <c r="O102" s="182">
        <f>O98-G99-G100-G102-G101</f>
        <v>169.5</v>
      </c>
      <c r="Q102" s="182">
        <f t="shared" si="99"/>
        <v>-8.11</v>
      </c>
      <c r="R102" s="182">
        <f t="shared" si="110"/>
        <v>39</v>
      </c>
      <c r="V102" s="201">
        <f>IF(H101="AFIII",VLOOKUP(D102,Sheet1!$A$4:$H$18,5,FALSE),IF(H101="UBIII",VLOOKUP(D102,Sheet1!$A$4:$H$18,8,FALSE),IF(H101="",VLOOKUP(D102,Sheet1!$A$4:$H$18,2,FALSE),"0")))</f>
        <v>1060</v>
      </c>
      <c r="W102" s="201">
        <f t="shared" si="92"/>
        <v>7033</v>
      </c>
      <c r="X102" s="208">
        <f t="shared" si="111"/>
        <v>7357</v>
      </c>
      <c r="Y102" s="171" t="str">
        <f t="shared" si="93"/>
        <v>SUCCESS</v>
      </c>
      <c r="Z102" s="171" t="str">
        <f t="shared" si="94"/>
        <v>SUCCESS</v>
      </c>
      <c r="AA102" s="185">
        <f t="shared" si="98"/>
        <v>149.72150468195022</v>
      </c>
    </row>
    <row r="103" spans="1:27">
      <c r="A103" s="119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280</v>
      </c>
      <c r="B103" s="120">
        <f t="shared" si="91"/>
        <v>37375</v>
      </c>
      <c r="C103" s="121">
        <f t="shared" si="109"/>
        <v>250.62000000000009</v>
      </c>
      <c r="D103" s="191" t="s">
        <v>14</v>
      </c>
      <c r="E103" s="192">
        <f>IF(H102="AFIII",VLOOKUP($D103,Sheet1!$A$34:$K$48,5,FALSE),IF(H102="UBIII",VLOOKUP($D103,Sheet1!$A$34:$K$48,8,FALSE),VLOOKUP($D103,Sheet1!$A$34:$K$48,2,FALSE)))</f>
        <v>2.86</v>
      </c>
      <c r="F103" s="192">
        <f>ROUNDDOWN((IF(H102="AFIII",VLOOKUP($D103,Sheet1!$A$34:$K$48,5,FALSE),IF(H102="UBIII",VLOOKUP($D103,Sheet1!$A$34:$K$48,8,FALSE),VLOOKUP($D103,Sheet1!$A$34:$K$48,2,FALSE))))*0.85,2)</f>
        <v>2.4300000000000002</v>
      </c>
      <c r="G103" s="192">
        <f t="shared" ref="G103:G144" si="113">IF(M102="迅速",IF(S102="黒魔紋",$F$1,$E$1),IF(S102="黒魔紋",IF(F103&lt;$F$1,$F$1,F103),IF(E103&lt;$E$1,$E$1,E103)))</f>
        <v>2.86</v>
      </c>
      <c r="H103" s="193" t="s">
        <v>122</v>
      </c>
      <c r="I103" s="192">
        <f t="shared" si="112"/>
        <v>4.2800000000000011</v>
      </c>
      <c r="J103" s="193"/>
      <c r="K103" s="192">
        <v>25</v>
      </c>
      <c r="L103" s="192">
        <f t="shared" si="107"/>
        <v>60.42</v>
      </c>
      <c r="M103" s="193"/>
      <c r="N103" s="192"/>
      <c r="O103" s="192">
        <f t="shared" ref="O103:O112" si="114">O102-G103</f>
        <v>166.64</v>
      </c>
      <c r="P103" s="193"/>
      <c r="Q103" s="192"/>
      <c r="R103" s="192">
        <f t="shared" si="110"/>
        <v>36.14</v>
      </c>
      <c r="S103" s="193"/>
      <c r="T103" s="192"/>
      <c r="U103" s="194"/>
      <c r="V103" s="211">
        <f>IF(H102="AFIII",VLOOKUP(D103,Sheet1!$A$4:$H$18,5,FALSE),IF(H102="UBIII",VLOOKUP(D103,Sheet1!$A$4:$H$18,8,FALSE),IF(H102="",VLOOKUP(D103,Sheet1!$A$4:$H$18,2,FALSE),"0")))</f>
        <v>884</v>
      </c>
      <c r="W103" s="211">
        <f t="shared" si="92"/>
        <v>7033</v>
      </c>
      <c r="X103" s="212">
        <f t="shared" si="111"/>
        <v>10508</v>
      </c>
      <c r="Y103" s="195" t="str">
        <f t="shared" si="93"/>
        <v>SUCCESS</v>
      </c>
      <c r="Z103" s="195" t="str">
        <f t="shared" si="94"/>
        <v>SUCCESS</v>
      </c>
      <c r="AA103" s="185">
        <f t="shared" si="98"/>
        <v>149.13015721011885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168</v>
      </c>
      <c r="B104" s="113">
        <f t="shared" si="91"/>
        <v>37543</v>
      </c>
      <c r="C104" s="118">
        <f t="shared" si="109"/>
        <v>253.01000000000008</v>
      </c>
      <c r="D104" s="181" t="s">
        <v>4</v>
      </c>
      <c r="E104" s="182">
        <f>IF(H103="AFIII",VLOOKUP($D104,Sheet1!$A$34:$K$48,5,FALSE),IF(H103="UBIII",VLOOKUP($D104,Sheet1!$A$34:$K$48,8,FALSE),VLOOKUP($D104,Sheet1!$A$34:$K$48,2,FALSE)))</f>
        <v>1.67</v>
      </c>
      <c r="F104" s="182">
        <f>ROUNDDOWN((IF(H103="AFIII",VLOOKUP($D104,Sheet1!$A$34:$K$48,5,FALSE),IF(H103="UBIII",VLOOKUP($D104,Sheet1!$A$34:$K$48,8,FALSE),VLOOKUP($D104,Sheet1!$A$34:$K$48,2,FALSE))))*0.85,2)</f>
        <v>1.41</v>
      </c>
      <c r="G104" s="182">
        <f t="shared" si="113"/>
        <v>2.39</v>
      </c>
      <c r="H104" s="183" t="s">
        <v>84</v>
      </c>
      <c r="I104" s="182">
        <v>10</v>
      </c>
      <c r="K104" s="182">
        <f>K103-G104</f>
        <v>22.61</v>
      </c>
      <c r="L104" s="182">
        <f t="shared" si="107"/>
        <v>58.03</v>
      </c>
      <c r="O104" s="182">
        <f t="shared" si="114"/>
        <v>164.25</v>
      </c>
      <c r="R104" s="182">
        <f t="shared" si="110"/>
        <v>33.75</v>
      </c>
      <c r="V104" s="201">
        <f>IF(H103="AFIII",VLOOKUP(D104,Sheet1!$A$4:$H$18,5,FALSE),IF(H103="UBIII",VLOOKUP(D104,Sheet1!$A$4:$H$18,8,FALSE),IF(H103="",VLOOKUP(D104,Sheet1!$A$4:$H$18,2,FALSE),"0")))</f>
        <v>442</v>
      </c>
      <c r="W104" s="201">
        <f t="shared" si="92"/>
        <v>7033</v>
      </c>
      <c r="X104" s="208">
        <f t="shared" si="111"/>
        <v>10950</v>
      </c>
      <c r="Y104" s="171" t="str">
        <f t="shared" si="93"/>
        <v>SUCCESS</v>
      </c>
      <c r="Z104" s="171" t="str">
        <f t="shared" si="94"/>
        <v>SUCCESS</v>
      </c>
      <c r="AA104" s="185">
        <f t="shared" si="98"/>
        <v>148.38543931069913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504</v>
      </c>
      <c r="B105" s="113">
        <f t="shared" si="91"/>
        <v>38047</v>
      </c>
      <c r="C105" s="118">
        <f t="shared" si="109"/>
        <v>255.87000000000009</v>
      </c>
      <c r="D105" s="181" t="s">
        <v>6</v>
      </c>
      <c r="E105" s="182">
        <f>IF(H104="AFIII",VLOOKUP($D105,Sheet1!$A$34:$K$48,5,FALSE),IF(H104="UBIII",VLOOKUP($D105,Sheet1!$A$34:$K$48,8,FALSE),VLOOKUP($D105,Sheet1!$A$34:$K$48,2,FALSE)))</f>
        <v>2.86</v>
      </c>
      <c r="F105" s="182">
        <f>ROUNDDOWN((IF(H104="AFIII",VLOOKUP($D105,Sheet1!$A$34:$K$48,5,FALSE),IF(H104="UBIII",VLOOKUP($D105,Sheet1!$A$34:$K$48,8,FALSE),VLOOKUP($D105,Sheet1!$A$34:$K$48,2,FALSE))))*0.85,2)</f>
        <v>2.4300000000000002</v>
      </c>
      <c r="G105" s="182">
        <f t="shared" si="113"/>
        <v>2.86</v>
      </c>
      <c r="H105" s="183" t="s">
        <v>84</v>
      </c>
      <c r="I105" s="182">
        <f>I104-G105</f>
        <v>7.1400000000000006</v>
      </c>
      <c r="K105" s="182">
        <f t="shared" ref="K105:K111" si="115">K104-G105</f>
        <v>19.75</v>
      </c>
      <c r="L105" s="182">
        <f t="shared" si="107"/>
        <v>55.17</v>
      </c>
      <c r="O105" s="182">
        <f t="shared" si="114"/>
        <v>161.38999999999999</v>
      </c>
      <c r="R105" s="182">
        <f t="shared" si="110"/>
        <v>30.89</v>
      </c>
      <c r="V105" s="201">
        <f>IF(H104="AFIII",VLOOKUP(D105,Sheet1!$A$4:$H$18,5,FALSE),IF(H104="UBIII",VLOOKUP(D105,Sheet1!$A$4:$H$18,8,FALSE),IF(H104="",VLOOKUP(D105,Sheet1!$A$4:$H$18,2,FALSE),"0")))</f>
        <v>1768</v>
      </c>
      <c r="W105" s="201">
        <f t="shared" si="92"/>
        <v>0</v>
      </c>
      <c r="X105" s="208">
        <f t="shared" si="111"/>
        <v>9182</v>
      </c>
      <c r="Y105" s="171" t="str">
        <f t="shared" si="93"/>
        <v>SUCCESS</v>
      </c>
      <c r="Z105" s="171" t="str">
        <f t="shared" si="94"/>
        <v>SUCCESS</v>
      </c>
      <c r="AA105" s="185">
        <f t="shared" si="98"/>
        <v>148.69660374408875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504</v>
      </c>
      <c r="B106" s="113">
        <f t="shared" si="91"/>
        <v>38551</v>
      </c>
      <c r="C106" s="118">
        <f t="shared" si="109"/>
        <v>258.73000000000008</v>
      </c>
      <c r="D106" s="181" t="s">
        <v>6</v>
      </c>
      <c r="E106" s="182">
        <f>IF(H105="AFIII",VLOOKUP($D106,Sheet1!$A$34:$K$48,5,FALSE),IF(H105="UBIII",VLOOKUP($D106,Sheet1!$A$34:$K$48,8,FALSE),VLOOKUP($D106,Sheet1!$A$34:$K$48,2,FALSE)))</f>
        <v>2.86</v>
      </c>
      <c r="F106" s="182">
        <f>ROUNDDOWN((IF(H105="AFIII",VLOOKUP($D106,Sheet1!$A$34:$K$48,5,FALSE),IF(H105="UBIII",VLOOKUP($D106,Sheet1!$A$34:$K$48,8,FALSE),VLOOKUP($D106,Sheet1!$A$34:$K$48,2,FALSE))))*0.85,2)</f>
        <v>2.4300000000000002</v>
      </c>
      <c r="G106" s="182">
        <f t="shared" si="113"/>
        <v>2.86</v>
      </c>
      <c r="H106" s="183" t="s">
        <v>84</v>
      </c>
      <c r="I106" s="182">
        <f>I105-G106</f>
        <v>4.2800000000000011</v>
      </c>
      <c r="K106" s="182">
        <f t="shared" si="115"/>
        <v>16.89</v>
      </c>
      <c r="L106" s="182">
        <f t="shared" si="107"/>
        <v>52.31</v>
      </c>
      <c r="O106" s="182">
        <f t="shared" si="114"/>
        <v>158.52999999999997</v>
      </c>
      <c r="R106" s="182">
        <f t="shared" si="110"/>
        <v>28.03</v>
      </c>
      <c r="V106" s="201">
        <f>IF(H105="AFIII",VLOOKUP(D106,Sheet1!$A$4:$H$18,5,FALSE),IF(H105="UBIII",VLOOKUP(D106,Sheet1!$A$4:$H$18,8,FALSE),IF(H105="",VLOOKUP(D106,Sheet1!$A$4:$H$18,2,FALSE),"0")))</f>
        <v>1768</v>
      </c>
      <c r="W106" s="201">
        <f t="shared" si="92"/>
        <v>0</v>
      </c>
      <c r="X106" s="208">
        <f t="shared" si="111"/>
        <v>7414</v>
      </c>
      <c r="Y106" s="171" t="str">
        <f t="shared" si="93"/>
        <v>SUCCESS</v>
      </c>
      <c r="Z106" s="171" t="str">
        <f t="shared" si="94"/>
        <v>SUCCESS</v>
      </c>
      <c r="AA106" s="185">
        <f t="shared" si="98"/>
        <v>149.00088895760055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324</v>
      </c>
      <c r="B107" s="113">
        <f t="shared" si="91"/>
        <v>38875</v>
      </c>
      <c r="C107" s="118">
        <f t="shared" si="109"/>
        <v>261.12000000000006</v>
      </c>
      <c r="D107" s="181" t="s">
        <v>1</v>
      </c>
      <c r="E107" s="182">
        <f>IF(H106="AFIII",VLOOKUP($D107,Sheet1!$A$34:$K$48,5,FALSE),IF(H106="UBIII",VLOOKUP($D107,Sheet1!$A$34:$K$48,8,FALSE),VLOOKUP($D107,Sheet1!$A$34:$K$48,2,FALSE)))</f>
        <v>2.39</v>
      </c>
      <c r="F107" s="182">
        <f>ROUNDDOWN((IF(H106="AFIII",VLOOKUP($D107,Sheet1!$A$34:$K$48,5,FALSE),IF(H106="UBIII",VLOOKUP($D107,Sheet1!$A$34:$K$48,8,FALSE),VLOOKUP($D107,Sheet1!$A$34:$K$48,2,FALSE))))*0.85,2)</f>
        <v>2.0299999999999998</v>
      </c>
      <c r="G107" s="182">
        <f t="shared" si="113"/>
        <v>2.39</v>
      </c>
      <c r="H107" s="183" t="s">
        <v>84</v>
      </c>
      <c r="I107" s="182">
        <v>10</v>
      </c>
      <c r="K107" s="182">
        <f t="shared" si="115"/>
        <v>14.5</v>
      </c>
      <c r="L107" s="182">
        <f t="shared" si="107"/>
        <v>49.92</v>
      </c>
      <c r="O107" s="182">
        <f t="shared" si="114"/>
        <v>156.13999999999999</v>
      </c>
      <c r="R107" s="182">
        <f t="shared" si="110"/>
        <v>25.64</v>
      </c>
      <c r="V107" s="201">
        <f>IF(H106="AFIII",VLOOKUP(D107,Sheet1!$A$4:$H$18,5,FALSE),IF(H106="UBIII",VLOOKUP(D107,Sheet1!$A$4:$H$18,8,FALSE),IF(H106="",VLOOKUP(D107,Sheet1!$A$4:$H$18,2,FALSE),"0")))</f>
        <v>2120</v>
      </c>
      <c r="W107" s="201">
        <f t="shared" si="92"/>
        <v>0</v>
      </c>
      <c r="X107" s="208">
        <f t="shared" si="111"/>
        <v>5294</v>
      </c>
      <c r="Y107" s="171" t="str">
        <f t="shared" si="93"/>
        <v>SUCCESS</v>
      </c>
      <c r="Z107" s="171" t="str">
        <f t="shared" si="94"/>
        <v>SUCCESS</v>
      </c>
      <c r="AA107" s="185">
        <f t="shared" si="98"/>
        <v>148.87791053921566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504</v>
      </c>
      <c r="B108" s="113">
        <f t="shared" si="91"/>
        <v>39379</v>
      </c>
      <c r="C108" s="118">
        <f t="shared" si="109"/>
        <v>263.98000000000008</v>
      </c>
      <c r="D108" s="181" t="s">
        <v>6</v>
      </c>
      <c r="E108" s="182">
        <f>IF(H107="AFIII",VLOOKUP($D108,Sheet1!$A$34:$K$48,5,FALSE),IF(H107="UBIII",VLOOKUP($D108,Sheet1!$A$34:$K$48,8,FALSE),VLOOKUP($D108,Sheet1!$A$34:$K$48,2,FALSE)))</f>
        <v>2.86</v>
      </c>
      <c r="F108" s="182">
        <f>ROUNDDOWN((IF(H107="AFIII",VLOOKUP($D108,Sheet1!$A$34:$K$48,5,FALSE),IF(H107="UBIII",VLOOKUP($D108,Sheet1!$A$34:$K$48,8,FALSE),VLOOKUP($D108,Sheet1!$A$34:$K$48,2,FALSE))))*0.85,2)</f>
        <v>2.4300000000000002</v>
      </c>
      <c r="G108" s="182">
        <f t="shared" si="113"/>
        <v>2.86</v>
      </c>
      <c r="H108" s="183" t="s">
        <v>84</v>
      </c>
      <c r="I108" s="182">
        <f>I107-G108</f>
        <v>7.1400000000000006</v>
      </c>
      <c r="K108" s="182">
        <f t="shared" si="115"/>
        <v>11.64</v>
      </c>
      <c r="L108" s="182">
        <f t="shared" si="107"/>
        <v>47.06</v>
      </c>
      <c r="O108" s="182">
        <f t="shared" si="114"/>
        <v>153.27999999999997</v>
      </c>
      <c r="R108" s="182">
        <f t="shared" si="110"/>
        <v>22.78</v>
      </c>
      <c r="V108" s="201">
        <f>IF(H107="AFIII",VLOOKUP(D108,Sheet1!$A$4:$H$18,5,FALSE),IF(H107="UBIII",VLOOKUP(D108,Sheet1!$A$4:$H$18,8,FALSE),IF(H107="",VLOOKUP(D108,Sheet1!$A$4:$H$18,2,FALSE),"0")))</f>
        <v>1768</v>
      </c>
      <c r="W108" s="201">
        <f t="shared" si="92"/>
        <v>0</v>
      </c>
      <c r="X108" s="208">
        <f t="shared" si="111"/>
        <v>3526</v>
      </c>
      <c r="Y108" s="171" t="str">
        <f t="shared" si="93"/>
        <v>SUCCESS</v>
      </c>
      <c r="Z108" s="171" t="str">
        <f t="shared" si="94"/>
        <v>SUCCESS</v>
      </c>
      <c r="AA108" s="185">
        <f t="shared" si="98"/>
        <v>149.17417986211072</v>
      </c>
    </row>
    <row r="109" spans="1:27">
      <c r="A109" s="112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504</v>
      </c>
      <c r="B109" s="113">
        <f t="shared" si="91"/>
        <v>39883</v>
      </c>
      <c r="C109" s="118">
        <f t="shared" si="109"/>
        <v>266.84000000000009</v>
      </c>
      <c r="D109" s="181" t="s">
        <v>6</v>
      </c>
      <c r="E109" s="182">
        <f>IF(H108="AFIII",VLOOKUP($D109,Sheet1!$A$34:$K$48,5,FALSE),IF(H108="UBIII",VLOOKUP($D109,Sheet1!$A$34:$K$48,8,FALSE),VLOOKUP($D109,Sheet1!$A$34:$K$48,2,FALSE)))</f>
        <v>2.86</v>
      </c>
      <c r="F109" s="182">
        <f>ROUNDDOWN((IF(H108="AFIII",VLOOKUP($D109,Sheet1!$A$34:$K$48,5,FALSE),IF(H108="UBIII",VLOOKUP($D109,Sheet1!$A$34:$K$48,8,FALSE),VLOOKUP($D109,Sheet1!$A$34:$K$48,2,FALSE))))*0.85,2)</f>
        <v>2.4300000000000002</v>
      </c>
      <c r="G109" s="182">
        <f t="shared" si="113"/>
        <v>2.86</v>
      </c>
      <c r="H109" s="183" t="s">
        <v>84</v>
      </c>
      <c r="I109" s="182">
        <f>I108-G109</f>
        <v>4.2800000000000011</v>
      </c>
      <c r="K109" s="182">
        <f t="shared" si="115"/>
        <v>8.7800000000000011</v>
      </c>
      <c r="L109" s="182">
        <f t="shared" si="107"/>
        <v>44.2</v>
      </c>
      <c r="O109" s="182">
        <f t="shared" si="114"/>
        <v>150.41999999999996</v>
      </c>
      <c r="R109" s="182">
        <f t="shared" si="110"/>
        <v>19.920000000000002</v>
      </c>
      <c r="V109" s="201">
        <f>IF(H108="AFIII",VLOOKUP(D109,Sheet1!$A$4:$H$18,5,FALSE),IF(H108="UBIII",VLOOKUP(D109,Sheet1!$A$4:$H$18,8,FALSE),IF(H108="",VLOOKUP(D109,Sheet1!$A$4:$H$18,2,FALSE),"0")))</f>
        <v>1768</v>
      </c>
      <c r="W109" s="201">
        <f t="shared" si="92"/>
        <v>0</v>
      </c>
      <c r="X109" s="208">
        <f t="shared" si="111"/>
        <v>1758</v>
      </c>
      <c r="Y109" s="171" t="str">
        <f t="shared" si="93"/>
        <v>SUCCESS</v>
      </c>
      <c r="Z109" s="171" t="str">
        <f t="shared" si="94"/>
        <v>SUCCESS</v>
      </c>
      <c r="AA109" s="185">
        <f t="shared" si="98"/>
        <v>149.46409833608149</v>
      </c>
    </row>
    <row r="110" spans="1:27">
      <c r="A110" s="112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432</v>
      </c>
      <c r="B110" s="113">
        <f t="shared" si="91"/>
        <v>40315</v>
      </c>
      <c r="C110" s="118">
        <f t="shared" si="109"/>
        <v>269.23000000000008</v>
      </c>
      <c r="D110" s="181" t="s">
        <v>129</v>
      </c>
      <c r="E110" s="182">
        <f>IF(H109="AFIII",VLOOKUP($D110,Sheet1!$A$34:$K$48,5,FALSE),IF(H109="UBIII",VLOOKUP($D110,Sheet1!$A$34:$K$48,8,FALSE),VLOOKUP($D110,Sheet1!$A$34:$K$48,2,FALSE)))</f>
        <v>2.39</v>
      </c>
      <c r="F110" s="182">
        <f>ROUNDDOWN((IF(H109="AFIII",VLOOKUP($D110,Sheet1!$A$34:$K$48,5,FALSE),IF(H109="UBIII",VLOOKUP($D110,Sheet1!$A$34:$K$48,8,FALSE),VLOOKUP($D110,Sheet1!$A$34:$K$48,2,FALSE))))*0.85,2)</f>
        <v>2.0299999999999998</v>
      </c>
      <c r="G110" s="182">
        <f t="shared" si="113"/>
        <v>2.39</v>
      </c>
      <c r="H110" s="183" t="s">
        <v>84</v>
      </c>
      <c r="I110" s="182">
        <v>10</v>
      </c>
      <c r="K110" s="182">
        <f t="shared" si="115"/>
        <v>6.3900000000000006</v>
      </c>
      <c r="L110" s="182">
        <f t="shared" si="107"/>
        <v>41.81</v>
      </c>
      <c r="O110" s="182">
        <f t="shared" si="114"/>
        <v>148.02999999999997</v>
      </c>
      <c r="R110" s="182">
        <f t="shared" si="110"/>
        <v>17.53</v>
      </c>
      <c r="S110" s="183" t="s">
        <v>52</v>
      </c>
      <c r="T110" s="182">
        <v>30</v>
      </c>
      <c r="U110" s="184">
        <v>90</v>
      </c>
      <c r="V110" s="201">
        <f>IF(H109="AFIII",VLOOKUP(D110,Sheet1!$A$4:$H$18,5,FALSE),IF(H109="UBIII",VLOOKUP(D110,Sheet1!$A$4:$H$18,8,FALSE),IF(H109="",VLOOKUP(D110,Sheet1!$A$4:$H$18,2,FALSE),"0")))</f>
        <v>0</v>
      </c>
      <c r="W110" s="201">
        <f t="shared" si="92"/>
        <v>0</v>
      </c>
      <c r="X110" s="208">
        <f t="shared" si="111"/>
        <v>1758</v>
      </c>
      <c r="Y110" s="171" t="str">
        <f t="shared" si="93"/>
        <v>SUCCESS</v>
      </c>
      <c r="Z110" s="171" t="str">
        <f t="shared" si="94"/>
        <v>SUCCESS</v>
      </c>
      <c r="AA110" s="185">
        <f t="shared" si="98"/>
        <v>149.74185640530396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168</v>
      </c>
      <c r="B111" s="113">
        <f t="shared" si="91"/>
        <v>40483</v>
      </c>
      <c r="C111" s="118">
        <f t="shared" si="109"/>
        <v>271.26000000000005</v>
      </c>
      <c r="D111" s="181" t="s">
        <v>12</v>
      </c>
      <c r="E111" s="182">
        <f>IF(H110="AFIII",VLOOKUP($D111,Sheet1!$A$34:$K$48,5,FALSE),IF(H110="UBIII",VLOOKUP($D111,Sheet1!$A$34:$K$48,8,FALSE),VLOOKUP($D111,Sheet1!$A$34:$K$48,2,FALSE)))</f>
        <v>1.67</v>
      </c>
      <c r="F111" s="182">
        <f>ROUNDDOWN((IF(H110="AFIII",VLOOKUP($D111,Sheet1!$A$34:$K$48,5,FALSE),IF(H110="UBIII",VLOOKUP($D111,Sheet1!$A$34:$K$48,8,FALSE),VLOOKUP($D111,Sheet1!$A$34:$K$48,2,FALSE))))*0.85,2)</f>
        <v>1.41</v>
      </c>
      <c r="G111" s="182">
        <f t="shared" si="113"/>
        <v>2.0299999999999998</v>
      </c>
      <c r="H111" s="183" t="s">
        <v>122</v>
      </c>
      <c r="I111" s="182">
        <f>I110-G111</f>
        <v>7.9700000000000006</v>
      </c>
      <c r="K111" s="182">
        <f t="shared" si="115"/>
        <v>4.3600000000000012</v>
      </c>
      <c r="L111" s="182">
        <f t="shared" si="107"/>
        <v>39.78</v>
      </c>
      <c r="O111" s="182">
        <f t="shared" si="114"/>
        <v>145.99999999999997</v>
      </c>
      <c r="R111" s="182">
        <f t="shared" si="110"/>
        <v>15.500000000000002</v>
      </c>
      <c r="S111" s="183" t="s">
        <v>87</v>
      </c>
      <c r="T111" s="182">
        <f t="shared" ref="T111:T124" si="116">T110-G111</f>
        <v>27.97</v>
      </c>
      <c r="U111" s="184">
        <f t="shared" ref="U111:U148" si="117">U110-G111</f>
        <v>87.97</v>
      </c>
      <c r="V111" s="201">
        <f>IF(H110="AFIII",VLOOKUP(D111,Sheet1!$A$4:$H$18,5,FALSE),IF(H110="UBIII",VLOOKUP(D111,Sheet1!$A$4:$H$18,8,FALSE),IF(H110="",VLOOKUP(D111,Sheet1!$A$4:$H$18,2,FALSE),"0")))</f>
        <v>265</v>
      </c>
      <c r="W111" s="201">
        <f t="shared" si="92"/>
        <v>0</v>
      </c>
      <c r="X111" s="208">
        <f t="shared" si="111"/>
        <v>1493</v>
      </c>
      <c r="Y111" s="171" t="str">
        <f t="shared" si="93"/>
        <v>SUCCESS</v>
      </c>
      <c r="Z111" s="171" t="str">
        <f t="shared" si="94"/>
        <v>SUCCESS</v>
      </c>
      <c r="AA111" s="185">
        <f t="shared" si="98"/>
        <v>149.2405809924058</v>
      </c>
    </row>
    <row r="112" spans="1:27">
      <c r="A112" s="119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280</v>
      </c>
      <c r="B112" s="120">
        <f t="shared" si="91"/>
        <v>40763</v>
      </c>
      <c r="C112" s="121">
        <f t="shared" si="109"/>
        <v>273.69000000000005</v>
      </c>
      <c r="D112" s="191" t="s">
        <v>14</v>
      </c>
      <c r="E112" s="192">
        <f>IF(H111="AFIII",VLOOKUP($D112,Sheet1!$A$34:$K$48,5,FALSE),IF(H111="UBIII",VLOOKUP($D112,Sheet1!$A$34:$K$48,8,FALSE),VLOOKUP($D112,Sheet1!$A$34:$K$48,2,FALSE)))</f>
        <v>2.86</v>
      </c>
      <c r="F112" s="192">
        <f>ROUNDDOWN((IF(H111="AFIII",VLOOKUP($D112,Sheet1!$A$34:$K$48,5,FALSE),IF(H111="UBIII",VLOOKUP($D112,Sheet1!$A$34:$K$48,8,FALSE),VLOOKUP($D112,Sheet1!$A$34:$K$48,2,FALSE))))*0.85,2)</f>
        <v>2.4300000000000002</v>
      </c>
      <c r="G112" s="192">
        <f t="shared" si="113"/>
        <v>2.4300000000000002</v>
      </c>
      <c r="H112" s="193" t="s">
        <v>122</v>
      </c>
      <c r="I112" s="192">
        <f>I111-G112</f>
        <v>5.5400000000000009</v>
      </c>
      <c r="J112" s="193"/>
      <c r="K112" s="192">
        <v>20</v>
      </c>
      <c r="L112" s="192">
        <f t="shared" si="107"/>
        <v>37.35</v>
      </c>
      <c r="M112" s="193"/>
      <c r="N112" s="192"/>
      <c r="O112" s="192">
        <f t="shared" si="114"/>
        <v>143.56999999999996</v>
      </c>
      <c r="P112" s="193"/>
      <c r="Q112" s="192"/>
      <c r="R112" s="192">
        <f t="shared" si="110"/>
        <v>13.070000000000002</v>
      </c>
      <c r="S112" s="193" t="s">
        <v>87</v>
      </c>
      <c r="T112" s="192">
        <f t="shared" si="116"/>
        <v>25.54</v>
      </c>
      <c r="U112" s="194">
        <f t="shared" si="117"/>
        <v>85.539999999999992</v>
      </c>
      <c r="V112" s="211">
        <f>IF(H111="AFIII",VLOOKUP(D112,Sheet1!$A$4:$H$18,5,FALSE),IF(H111="UBIII",VLOOKUP(D112,Sheet1!$A$4:$H$18,8,FALSE),IF(H111="",VLOOKUP(D112,Sheet1!$A$4:$H$18,2,FALSE),"0")))</f>
        <v>884</v>
      </c>
      <c r="W112" s="211">
        <f t="shared" si="92"/>
        <v>7033</v>
      </c>
      <c r="X112" s="212">
        <f t="shared" si="111"/>
        <v>7642</v>
      </c>
      <c r="Y112" s="195" t="str">
        <f t="shared" si="93"/>
        <v>SUCCESS</v>
      </c>
      <c r="Z112" s="195" t="str">
        <f t="shared" si="94"/>
        <v>SUCCESS</v>
      </c>
      <c r="AA112" s="185">
        <f t="shared" si="98"/>
        <v>148.93858014541996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168</v>
      </c>
      <c r="B113" s="113">
        <f t="shared" si="91"/>
        <v>40931</v>
      </c>
      <c r="C113" s="118">
        <f t="shared" si="109"/>
        <v>275.72000000000003</v>
      </c>
      <c r="D113" s="181" t="s">
        <v>3</v>
      </c>
      <c r="E113" s="182">
        <f>IF(H112="AFIII",VLOOKUP($D113,Sheet1!$A$34:$K$48,5,FALSE),IF(H112="UBIII",VLOOKUP($D113,Sheet1!$A$34:$K$48,8,FALSE),VLOOKUP($D113,Sheet1!$A$34:$K$48,2,FALSE)))</f>
        <v>1.67</v>
      </c>
      <c r="F113" s="182">
        <f>ROUNDDOWN((IF(H112="AFIII",VLOOKUP($D113,Sheet1!$A$34:$K$48,5,FALSE),IF(H112="UBIII",VLOOKUP($D113,Sheet1!$A$34:$K$48,8,FALSE),VLOOKUP($D113,Sheet1!$A$34:$K$48,2,FALSE))))*0.85,2)</f>
        <v>1.41</v>
      </c>
      <c r="G113" s="182">
        <f t="shared" si="113"/>
        <v>2.0299999999999998</v>
      </c>
      <c r="H113" s="183" t="s">
        <v>84</v>
      </c>
      <c r="I113" s="182">
        <v>10</v>
      </c>
      <c r="K113" s="182">
        <f>K112-G113</f>
        <v>17.97</v>
      </c>
      <c r="L113" s="182">
        <f t="shared" si="107"/>
        <v>35.32</v>
      </c>
      <c r="O113" s="182">
        <f>O112-G113</f>
        <v>141.53999999999996</v>
      </c>
      <c r="R113" s="182">
        <f t="shared" si="110"/>
        <v>11.040000000000003</v>
      </c>
      <c r="S113" s="183" t="s">
        <v>87</v>
      </c>
      <c r="T113" s="182">
        <f t="shared" si="116"/>
        <v>23.509999999999998</v>
      </c>
      <c r="U113" s="184">
        <f t="shared" si="117"/>
        <v>83.509999999999991</v>
      </c>
      <c r="V113" s="201">
        <f>IF(H112="AFIII",VLOOKUP(D113,Sheet1!$A$4:$H$18,5,FALSE),IF(H112="UBIII",VLOOKUP(D113,Sheet1!$A$4:$H$18,8,FALSE),IF(H112="",VLOOKUP(D113,Sheet1!$A$4:$H$18,2,FALSE),"0")))</f>
        <v>442</v>
      </c>
      <c r="W113" s="201">
        <f t="shared" si="92"/>
        <v>7033</v>
      </c>
      <c r="X113" s="208">
        <f t="shared" si="111"/>
        <v>10950</v>
      </c>
      <c r="Y113" s="171" t="str">
        <f t="shared" si="93"/>
        <v>SUCCESS</v>
      </c>
      <c r="Z113" s="171" t="str">
        <f t="shared" si="94"/>
        <v>SUCCESS</v>
      </c>
      <c r="AA113" s="185">
        <f t="shared" si="98"/>
        <v>148.45132743362831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504</v>
      </c>
      <c r="B114" s="113">
        <f t="shared" si="91"/>
        <v>41435</v>
      </c>
      <c r="C114" s="118">
        <f t="shared" si="109"/>
        <v>278.15000000000003</v>
      </c>
      <c r="D114" s="181" t="s">
        <v>5</v>
      </c>
      <c r="E114" s="182">
        <f>IF(H113="AFIII",VLOOKUP($D114,Sheet1!$A$34:$K$48,5,FALSE),IF(H113="UBIII",VLOOKUP($D114,Sheet1!$A$34:$K$48,8,FALSE),VLOOKUP($D114,Sheet1!$A$34:$K$48,2,FALSE)))</f>
        <v>2.86</v>
      </c>
      <c r="F114" s="182">
        <f>ROUNDDOWN((IF(H113="AFIII",VLOOKUP($D114,Sheet1!$A$34:$K$48,5,FALSE),IF(H113="UBIII",VLOOKUP($D114,Sheet1!$A$34:$K$48,8,FALSE),VLOOKUP($D114,Sheet1!$A$34:$K$48,2,FALSE))))*0.85,2)</f>
        <v>2.4300000000000002</v>
      </c>
      <c r="G114" s="182">
        <f t="shared" si="113"/>
        <v>2.4300000000000002</v>
      </c>
      <c r="H114" s="183" t="s">
        <v>84</v>
      </c>
      <c r="I114" s="182">
        <f>I113-G114</f>
        <v>7.57</v>
      </c>
      <c r="K114" s="182">
        <f t="shared" ref="K114:K119" si="118">K113-G114</f>
        <v>15.54</v>
      </c>
      <c r="L114" s="182">
        <f t="shared" si="107"/>
        <v>32.89</v>
      </c>
      <c r="O114" s="182">
        <f t="shared" ref="O114:O118" si="119">O113-G114</f>
        <v>139.10999999999996</v>
      </c>
      <c r="R114" s="182">
        <f t="shared" si="110"/>
        <v>8.610000000000003</v>
      </c>
      <c r="S114" s="183" t="s">
        <v>87</v>
      </c>
      <c r="T114" s="182">
        <f t="shared" si="116"/>
        <v>21.08</v>
      </c>
      <c r="U114" s="184">
        <f t="shared" si="117"/>
        <v>81.079999999999984</v>
      </c>
      <c r="V114" s="201">
        <f>IF(H113="AFIII",VLOOKUP(D114,Sheet1!$A$4:$H$18,5,FALSE),IF(H113="UBIII",VLOOKUP(D114,Sheet1!$A$4:$H$18,8,FALSE),IF(H113="",VLOOKUP(D114,Sheet1!$A$4:$H$18,2,FALSE),"0")))</f>
        <v>1768</v>
      </c>
      <c r="W114" s="201">
        <f t="shared" si="92"/>
        <v>0</v>
      </c>
      <c r="X114" s="208">
        <f t="shared" si="111"/>
        <v>9182</v>
      </c>
      <c r="Y114" s="171" t="str">
        <f t="shared" si="93"/>
        <v>SUCCESS</v>
      </c>
      <c r="Z114" s="171" t="str">
        <f t="shared" si="94"/>
        <v>SUCCESS</v>
      </c>
      <c r="AA114" s="185">
        <f t="shared" si="98"/>
        <v>148.96638504404098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504</v>
      </c>
      <c r="B115" s="113">
        <f t="shared" si="91"/>
        <v>41939</v>
      </c>
      <c r="C115" s="118">
        <f t="shared" si="109"/>
        <v>280.58000000000004</v>
      </c>
      <c r="D115" s="181" t="s">
        <v>5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113"/>
        <v>2.4300000000000002</v>
      </c>
      <c r="H115" s="183" t="s">
        <v>84</v>
      </c>
      <c r="I115" s="182">
        <f t="shared" ref="I115" si="120">I114-G115</f>
        <v>5.1400000000000006</v>
      </c>
      <c r="K115" s="182">
        <f t="shared" si="118"/>
        <v>13.11</v>
      </c>
      <c r="L115" s="182">
        <f t="shared" si="107"/>
        <v>30.46</v>
      </c>
      <c r="O115" s="182">
        <f t="shared" si="119"/>
        <v>136.67999999999995</v>
      </c>
      <c r="R115" s="182">
        <f t="shared" si="110"/>
        <v>6.1800000000000033</v>
      </c>
      <c r="S115" s="183" t="s">
        <v>87</v>
      </c>
      <c r="T115" s="182">
        <f t="shared" si="116"/>
        <v>18.649999999999999</v>
      </c>
      <c r="U115" s="184">
        <f t="shared" si="117"/>
        <v>78.649999999999977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92"/>
        <v>0</v>
      </c>
      <c r="X115" s="208">
        <f t="shared" si="111"/>
        <v>7414</v>
      </c>
      <c r="Y115" s="171" t="str">
        <f t="shared" si="93"/>
        <v>SUCCESS</v>
      </c>
      <c r="Z115" s="171" t="str">
        <f t="shared" si="94"/>
        <v>SUCCESS</v>
      </c>
      <c r="AA115" s="185">
        <f t="shared" si="98"/>
        <v>149.47252120607311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324</v>
      </c>
      <c r="B116" s="113">
        <f t="shared" si="91"/>
        <v>42263</v>
      </c>
      <c r="C116" s="118">
        <f t="shared" si="109"/>
        <v>282.61</v>
      </c>
      <c r="D116" s="181" t="s">
        <v>1</v>
      </c>
      <c r="E116" s="182">
        <f>IF(H115="AFIII",VLOOKUP($D116,Sheet1!$A$34:$K$48,5,FALSE),IF(H115="UBIII",VLOOKUP($D116,Sheet1!$A$34:$K$48,8,FALSE),VLOOKUP($D116,Sheet1!$A$34:$K$48,2,FALSE)))</f>
        <v>2.39</v>
      </c>
      <c r="F116" s="182">
        <f>ROUNDDOWN((IF(H115="AFIII",VLOOKUP($D116,Sheet1!$A$34:$K$48,5,FALSE),IF(H115="UBIII",VLOOKUP($D116,Sheet1!$A$34:$K$48,8,FALSE),VLOOKUP($D116,Sheet1!$A$34:$K$48,2,FALSE))))*0.85,2)</f>
        <v>2.0299999999999998</v>
      </c>
      <c r="G116" s="182">
        <f t="shared" si="113"/>
        <v>2.0299999999999998</v>
      </c>
      <c r="H116" s="183" t="s">
        <v>84</v>
      </c>
      <c r="I116" s="182">
        <v>10</v>
      </c>
      <c r="K116" s="182">
        <f t="shared" si="118"/>
        <v>11.08</v>
      </c>
      <c r="L116" s="182">
        <f t="shared" si="107"/>
        <v>28.43</v>
      </c>
      <c r="O116" s="182">
        <f t="shared" si="119"/>
        <v>134.64999999999995</v>
      </c>
      <c r="R116" s="182">
        <f>R115-G116</f>
        <v>4.1500000000000039</v>
      </c>
      <c r="S116" s="183" t="s">
        <v>87</v>
      </c>
      <c r="T116" s="182">
        <f t="shared" si="116"/>
        <v>16.619999999999997</v>
      </c>
      <c r="U116" s="184">
        <f t="shared" si="117"/>
        <v>76.619999999999976</v>
      </c>
      <c r="V116" s="201">
        <f>IF(H115="AFIII",VLOOKUP(D116,Sheet1!$A$4:$H$18,5,FALSE),IF(H115="UBIII",VLOOKUP(D116,Sheet1!$A$4:$H$18,8,FALSE),IF(H115="",VLOOKUP(D116,Sheet1!$A$4:$H$18,2,FALSE),"0")))</f>
        <v>2120</v>
      </c>
      <c r="W116" s="201">
        <f t="shared" si="92"/>
        <v>0</v>
      </c>
      <c r="X116" s="208">
        <f t="shared" si="111"/>
        <v>5294</v>
      </c>
      <c r="Y116" s="171" t="str">
        <f t="shared" si="93"/>
        <v>SUCCESS</v>
      </c>
      <c r="Z116" s="171" t="str">
        <f t="shared" si="94"/>
        <v>SUCCESS</v>
      </c>
      <c r="AA116" s="185">
        <f t="shared" si="98"/>
        <v>149.54530979087789</v>
      </c>
    </row>
    <row r="117" spans="1:27">
      <c r="A117" s="11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504</v>
      </c>
      <c r="B117" s="113">
        <f t="shared" si="91"/>
        <v>42767</v>
      </c>
      <c r="C117" s="118">
        <f t="shared" si="109"/>
        <v>285.04000000000002</v>
      </c>
      <c r="D117" s="181" t="s">
        <v>6</v>
      </c>
      <c r="E117" s="182">
        <f>IF(H116="AFIII",VLOOKUP($D117,Sheet1!$A$34:$K$48,5,FALSE),IF(H116="UBIII",VLOOKUP($D117,Sheet1!$A$34:$K$48,8,FALSE),VLOOKUP($D117,Sheet1!$A$34:$K$48,2,FALSE)))</f>
        <v>2.86</v>
      </c>
      <c r="F117" s="182">
        <f>ROUNDDOWN((IF(H116="AFIII",VLOOKUP($D117,Sheet1!$A$34:$K$48,5,FALSE),IF(H116="UBIII",VLOOKUP($D117,Sheet1!$A$34:$K$48,8,FALSE),VLOOKUP($D117,Sheet1!$A$34:$K$48,2,FALSE))))*0.85,2)</f>
        <v>2.4300000000000002</v>
      </c>
      <c r="G117" s="182">
        <f t="shared" si="113"/>
        <v>2.4300000000000002</v>
      </c>
      <c r="H117" s="183" t="s">
        <v>84</v>
      </c>
      <c r="I117" s="182">
        <f>I116-G117</f>
        <v>7.57</v>
      </c>
      <c r="K117" s="182">
        <f t="shared" si="118"/>
        <v>8.65</v>
      </c>
      <c r="L117" s="182">
        <f t="shared" si="107"/>
        <v>26</v>
      </c>
      <c r="O117" s="182">
        <f t="shared" si="119"/>
        <v>132.21999999999994</v>
      </c>
      <c r="R117" s="182">
        <f t="shared" ref="R117:R121" si="121">R116-G117</f>
        <v>1.7200000000000037</v>
      </c>
      <c r="S117" s="183" t="s">
        <v>87</v>
      </c>
      <c r="T117" s="182">
        <f t="shared" si="116"/>
        <v>14.189999999999998</v>
      </c>
      <c r="U117" s="184">
        <f t="shared" si="117"/>
        <v>74.189999999999969</v>
      </c>
      <c r="V117" s="201">
        <f>IF(H116="AFIII",VLOOKUP(D117,Sheet1!$A$4:$H$18,5,FALSE),IF(H116="UBIII",VLOOKUP(D117,Sheet1!$A$4:$H$18,8,FALSE),IF(H116="",VLOOKUP(D117,Sheet1!$A$4:$H$18,2,FALSE),"0")))</f>
        <v>1768</v>
      </c>
      <c r="W117" s="201">
        <f t="shared" si="92"/>
        <v>0</v>
      </c>
      <c r="X117" s="208">
        <f t="shared" si="111"/>
        <v>3526</v>
      </c>
      <c r="Y117" s="171" t="str">
        <f t="shared" si="93"/>
        <v>SUCCESS</v>
      </c>
      <c r="Z117" s="171" t="str">
        <f t="shared" si="94"/>
        <v>SUCCESS</v>
      </c>
      <c r="AA117" s="185">
        <f t="shared" si="98"/>
        <v>150.03859107493685</v>
      </c>
    </row>
    <row r="118" spans="1:27">
      <c r="A118" s="112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504</v>
      </c>
      <c r="B118" s="113">
        <f t="shared" si="91"/>
        <v>43271</v>
      </c>
      <c r="C118" s="118">
        <f t="shared" si="109"/>
        <v>287.47000000000003</v>
      </c>
      <c r="D118" s="181" t="s">
        <v>6</v>
      </c>
      <c r="E118" s="182">
        <f>IF(H117="AFIII",VLOOKUP($D118,Sheet1!$A$34:$K$48,5,FALSE),IF(H117="UBIII",VLOOKUP($D118,Sheet1!$A$34:$K$48,8,FALSE),VLOOKUP($D118,Sheet1!$A$34:$K$48,2,FALSE)))</f>
        <v>2.86</v>
      </c>
      <c r="F118" s="182">
        <f>ROUNDDOWN((IF(H117="AFIII",VLOOKUP($D118,Sheet1!$A$34:$K$48,5,FALSE),IF(H117="UBIII",VLOOKUP($D118,Sheet1!$A$34:$K$48,8,FALSE),VLOOKUP($D118,Sheet1!$A$34:$K$48,2,FALSE))))*0.85,2)</f>
        <v>2.4300000000000002</v>
      </c>
      <c r="G118" s="182">
        <f t="shared" si="113"/>
        <v>2.4300000000000002</v>
      </c>
      <c r="H118" s="183" t="s">
        <v>84</v>
      </c>
      <c r="I118" s="182">
        <f>I117-G118</f>
        <v>5.1400000000000006</v>
      </c>
      <c r="K118" s="182">
        <f t="shared" si="118"/>
        <v>6.2200000000000006</v>
      </c>
      <c r="L118" s="182">
        <f t="shared" si="107"/>
        <v>23.57</v>
      </c>
      <c r="O118" s="182">
        <f t="shared" si="119"/>
        <v>129.78999999999994</v>
      </c>
      <c r="R118" s="182">
        <f t="shared" si="121"/>
        <v>-0.70999999999999641</v>
      </c>
      <c r="S118" s="183" t="s">
        <v>87</v>
      </c>
      <c r="T118" s="182">
        <f t="shared" si="116"/>
        <v>11.759999999999998</v>
      </c>
      <c r="U118" s="184">
        <f t="shared" si="117"/>
        <v>71.759999999999962</v>
      </c>
      <c r="V118" s="201">
        <f>IF(H117="AFIII",VLOOKUP(D118,Sheet1!$A$4:$H$18,5,FALSE),IF(H117="UBIII",VLOOKUP(D118,Sheet1!$A$4:$H$18,8,FALSE),IF(H117="",VLOOKUP(D118,Sheet1!$A$4:$H$18,2,FALSE),"0")))</f>
        <v>1768</v>
      </c>
      <c r="W118" s="201">
        <f t="shared" si="92"/>
        <v>0</v>
      </c>
      <c r="X118" s="208">
        <f t="shared" si="111"/>
        <v>1758</v>
      </c>
      <c r="Y118" s="171" t="str">
        <f t="shared" si="93"/>
        <v>SUCCESS</v>
      </c>
      <c r="Z118" s="171" t="str">
        <f t="shared" si="94"/>
        <v>SUCCESS</v>
      </c>
      <c r="AA118" s="185">
        <f t="shared" si="98"/>
        <v>150.52353289038854</v>
      </c>
    </row>
    <row r="119" spans="1:27">
      <c r="A119" s="11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168</v>
      </c>
      <c r="B119" s="113">
        <f t="shared" si="91"/>
        <v>43439</v>
      </c>
      <c r="C119" s="118">
        <f t="shared" si="109"/>
        <v>289.5</v>
      </c>
      <c r="D119" s="181" t="s">
        <v>12</v>
      </c>
      <c r="E119" s="182">
        <f>IF(H118="AFIII",VLOOKUP($D119,Sheet1!$A$34:$K$48,5,FALSE),IF(H118="UBIII",VLOOKUP($D119,Sheet1!$A$34:$K$48,8,FALSE),VLOOKUP($D119,Sheet1!$A$34:$K$48,2,FALSE)))</f>
        <v>1.67</v>
      </c>
      <c r="F119" s="182">
        <f>ROUNDDOWN((IF(H118="AFIII",VLOOKUP($D119,Sheet1!$A$34:$K$48,5,FALSE),IF(H118="UBIII",VLOOKUP($D119,Sheet1!$A$34:$K$48,8,FALSE),VLOOKUP($D119,Sheet1!$A$34:$K$48,2,FALSE))))*0.85,2)</f>
        <v>1.41</v>
      </c>
      <c r="G119" s="182">
        <f t="shared" si="113"/>
        <v>2.0299999999999998</v>
      </c>
      <c r="H119" s="183" t="s">
        <v>122</v>
      </c>
      <c r="I119" s="182">
        <v>10</v>
      </c>
      <c r="K119" s="182">
        <f t="shared" si="118"/>
        <v>4.1900000000000013</v>
      </c>
      <c r="L119" s="182">
        <f t="shared" si="107"/>
        <v>21.54</v>
      </c>
      <c r="O119" s="182">
        <f>O118-G119</f>
        <v>127.75999999999993</v>
      </c>
      <c r="R119" s="182">
        <f t="shared" si="121"/>
        <v>-2.7399999999999962</v>
      </c>
      <c r="S119" s="183" t="s">
        <v>87</v>
      </c>
      <c r="T119" s="182">
        <f t="shared" si="116"/>
        <v>9.7299999999999986</v>
      </c>
      <c r="U119" s="184">
        <f t="shared" si="117"/>
        <v>69.729999999999961</v>
      </c>
      <c r="V119" s="201">
        <f>IF(H118="AFIII",VLOOKUP(D119,Sheet1!$A$4:$H$18,5,FALSE),IF(H118="UBIII",VLOOKUP(D119,Sheet1!$A$4:$H$18,8,FALSE),IF(H118="",VLOOKUP(D119,Sheet1!$A$4:$H$18,2,FALSE),"0")))</f>
        <v>265</v>
      </c>
      <c r="W119" s="201">
        <f t="shared" si="92"/>
        <v>0</v>
      </c>
      <c r="X119" s="208">
        <f t="shared" si="111"/>
        <v>1493</v>
      </c>
      <c r="Y119" s="171" t="str">
        <f t="shared" si="93"/>
        <v>SUCCESS</v>
      </c>
      <c r="Z119" s="171" t="str">
        <f t="shared" si="94"/>
        <v>SUCCESS</v>
      </c>
      <c r="AA119" s="185">
        <f t="shared" si="98"/>
        <v>150.04835924006909</v>
      </c>
    </row>
    <row r="120" spans="1:27">
      <c r="A120" s="119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280</v>
      </c>
      <c r="B120" s="120">
        <f t="shared" si="91"/>
        <v>43719</v>
      </c>
      <c r="C120" s="121">
        <f t="shared" si="109"/>
        <v>291.93</v>
      </c>
      <c r="D120" s="191" t="s">
        <v>14</v>
      </c>
      <c r="E120" s="192">
        <f>IF(H119="AFIII",VLOOKUP($D120,Sheet1!$A$34:$K$48,5,FALSE),IF(H119="UBIII",VLOOKUP($D120,Sheet1!$A$34:$K$48,8,FALSE),VLOOKUP($D120,Sheet1!$A$34:$K$48,2,FALSE)))</f>
        <v>2.86</v>
      </c>
      <c r="F120" s="192">
        <f>ROUNDDOWN((IF(H119="AFIII",VLOOKUP($D120,Sheet1!$A$34:$K$48,5,FALSE),IF(H119="UBIII",VLOOKUP($D120,Sheet1!$A$34:$K$48,8,FALSE),VLOOKUP($D120,Sheet1!$A$34:$K$48,2,FALSE))))*0.85,2)</f>
        <v>2.4300000000000002</v>
      </c>
      <c r="G120" s="192">
        <f t="shared" si="113"/>
        <v>2.4300000000000002</v>
      </c>
      <c r="H120" s="193" t="s">
        <v>122</v>
      </c>
      <c r="I120" s="192">
        <f>I119-G120</f>
        <v>7.57</v>
      </c>
      <c r="J120" s="193"/>
      <c r="K120" s="192">
        <v>15</v>
      </c>
      <c r="L120" s="192">
        <f t="shared" si="107"/>
        <v>19.11</v>
      </c>
      <c r="M120" s="193"/>
      <c r="N120" s="192"/>
      <c r="O120" s="192">
        <f t="shared" ref="O120:O122" si="122">O119-G120</f>
        <v>125.32999999999993</v>
      </c>
      <c r="P120" s="193"/>
      <c r="Q120" s="192"/>
      <c r="R120" s="192">
        <f t="shared" si="121"/>
        <v>-5.1699999999999964</v>
      </c>
      <c r="S120" s="193" t="s">
        <v>87</v>
      </c>
      <c r="T120" s="192">
        <f t="shared" si="116"/>
        <v>7.2999999999999989</v>
      </c>
      <c r="U120" s="194">
        <f t="shared" si="117"/>
        <v>67.299999999999955</v>
      </c>
      <c r="V120" s="211">
        <f>IF(H119="AFIII",VLOOKUP(D120,Sheet1!$A$4:$H$18,5,FALSE),IF(H119="UBIII",VLOOKUP(D120,Sheet1!$A$4:$H$18,8,FALSE),IF(H119="",VLOOKUP(D120,Sheet1!$A$4:$H$18,2,FALSE),"0")))</f>
        <v>884</v>
      </c>
      <c r="W120" s="211">
        <f t="shared" si="92"/>
        <v>7033</v>
      </c>
      <c r="X120" s="212">
        <f t="shared" si="111"/>
        <v>7642</v>
      </c>
      <c r="Y120" s="195" t="str">
        <f t="shared" si="93"/>
        <v>SUCCESS</v>
      </c>
      <c r="Z120" s="195" t="str">
        <f t="shared" si="94"/>
        <v>SUCCESS</v>
      </c>
      <c r="AA120" s="185">
        <f t="shared" si="98"/>
        <v>149.75850375089919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168</v>
      </c>
      <c r="B121" s="113">
        <f t="shared" si="91"/>
        <v>43887</v>
      </c>
      <c r="C121" s="118">
        <f t="shared" si="109"/>
        <v>293.95999999999998</v>
      </c>
      <c r="D121" s="181" t="s">
        <v>4</v>
      </c>
      <c r="E121" s="182">
        <f>IF(H120="AFIII",VLOOKUP($D121,Sheet1!$A$34:$K$48,5,FALSE),IF(H120="UBIII",VLOOKUP($D121,Sheet1!$A$34:$K$48,8,FALSE),VLOOKUP($D121,Sheet1!$A$34:$K$48,2,FALSE)))</f>
        <v>1.67</v>
      </c>
      <c r="F121" s="182">
        <f>ROUNDDOWN((IF(H120="AFIII",VLOOKUP($D121,Sheet1!$A$34:$K$48,5,FALSE),IF(H120="UBIII",VLOOKUP($D121,Sheet1!$A$34:$K$48,8,FALSE),VLOOKUP($D121,Sheet1!$A$34:$K$48,2,FALSE))))*0.85,2)</f>
        <v>1.41</v>
      </c>
      <c r="G121" s="182">
        <f t="shared" si="113"/>
        <v>2.0299999999999998</v>
      </c>
      <c r="H121" s="183" t="s">
        <v>84</v>
      </c>
      <c r="I121" s="182">
        <v>10</v>
      </c>
      <c r="K121" s="182">
        <f t="shared" ref="K121:K129" si="123">K120-G121</f>
        <v>12.97</v>
      </c>
      <c r="L121" s="182">
        <f t="shared" si="107"/>
        <v>17.079999999999998</v>
      </c>
      <c r="M121" s="183" t="s">
        <v>135</v>
      </c>
      <c r="O121" s="182">
        <f t="shared" si="122"/>
        <v>123.29999999999993</v>
      </c>
      <c r="R121" s="182">
        <f t="shared" si="121"/>
        <v>-7.1999999999999957</v>
      </c>
      <c r="S121" s="183" t="s">
        <v>87</v>
      </c>
      <c r="T121" s="182">
        <f t="shared" si="116"/>
        <v>5.27</v>
      </c>
      <c r="U121" s="184">
        <f t="shared" si="117"/>
        <v>65.269999999999953</v>
      </c>
      <c r="V121" s="201">
        <f>IF(H120="AFIII",VLOOKUP(D121,Sheet1!$A$4:$H$18,5,FALSE),IF(H120="UBIII",VLOOKUP(D121,Sheet1!$A$4:$H$18,8,FALSE),IF(H120="",VLOOKUP(D121,Sheet1!$A$4:$H$18,2,FALSE),"0")))</f>
        <v>442</v>
      </c>
      <c r="W121" s="201">
        <f t="shared" si="92"/>
        <v>7033</v>
      </c>
      <c r="X121" s="208">
        <f t="shared" si="111"/>
        <v>10950</v>
      </c>
      <c r="Y121" s="171" t="str">
        <f t="shared" si="93"/>
        <v>SUCCESS</v>
      </c>
      <c r="Z121" s="171" t="str">
        <f t="shared" si="94"/>
        <v>SUCCESS</v>
      </c>
      <c r="AA121" s="185">
        <f t="shared" si="98"/>
        <v>149.29582256089265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504</v>
      </c>
      <c r="B122" s="113">
        <f t="shared" si="91"/>
        <v>44391</v>
      </c>
      <c r="C122" s="118">
        <f t="shared" si="109"/>
        <v>296.39</v>
      </c>
      <c r="D122" s="181" t="s">
        <v>6</v>
      </c>
      <c r="E122" s="182">
        <f>IF(H121="AFIII",VLOOKUP($D122,Sheet1!$A$34:$K$48,5,FALSE),IF(H121="UBIII",VLOOKUP($D122,Sheet1!$A$34:$K$48,8,FALSE),VLOOKUP($D122,Sheet1!$A$34:$K$48,2,FALSE)))</f>
        <v>2.86</v>
      </c>
      <c r="F122" s="182">
        <f>ROUNDDOWN((IF(H121="AFIII",VLOOKUP($D122,Sheet1!$A$34:$K$48,5,FALSE),IF(H121="UBIII",VLOOKUP($D122,Sheet1!$A$34:$K$48,8,FALSE),VLOOKUP($D122,Sheet1!$A$34:$K$48,2,FALSE))))*0.85,2)</f>
        <v>2.4300000000000002</v>
      </c>
      <c r="G122" s="182">
        <f t="shared" si="113"/>
        <v>2.4300000000000002</v>
      </c>
      <c r="H122" s="183" t="s">
        <v>84</v>
      </c>
      <c r="I122" s="182">
        <f>I121-G122</f>
        <v>7.57</v>
      </c>
      <c r="K122" s="182">
        <f t="shared" si="123"/>
        <v>10.540000000000001</v>
      </c>
      <c r="L122" s="182">
        <f t="shared" si="107"/>
        <v>14.649999999999999</v>
      </c>
      <c r="O122" s="182">
        <f t="shared" si="122"/>
        <v>120.86999999999992</v>
      </c>
      <c r="P122" s="183" t="s">
        <v>136</v>
      </c>
      <c r="R122" s="182">
        <f>R121-G122</f>
        <v>-9.6299999999999955</v>
      </c>
      <c r="S122" s="183" t="s">
        <v>52</v>
      </c>
      <c r="T122" s="182">
        <f t="shared" si="116"/>
        <v>2.8399999999999994</v>
      </c>
      <c r="U122" s="184">
        <f t="shared" si="117"/>
        <v>62.839999999999954</v>
      </c>
      <c r="V122" s="201">
        <f>IF(H121="AFIII",VLOOKUP(D122,Sheet1!$A$4:$H$18,5,FALSE),IF(H121="UBIII",VLOOKUP(D122,Sheet1!$A$4:$H$18,8,FALSE),IF(H121="",VLOOKUP(D122,Sheet1!$A$4:$H$18,2,FALSE),"0")))</f>
        <v>1768</v>
      </c>
      <c r="W122" s="201">
        <f t="shared" si="92"/>
        <v>0</v>
      </c>
      <c r="X122" s="208">
        <f t="shared" si="111"/>
        <v>9182</v>
      </c>
      <c r="Y122" s="171" t="str">
        <f t="shared" si="93"/>
        <v>SUCCESS</v>
      </c>
      <c r="Z122" s="171" t="str">
        <f t="shared" si="94"/>
        <v>SUCCESS</v>
      </c>
      <c r="AA122" s="185">
        <f t="shared" si="98"/>
        <v>149.77225952292588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504</v>
      </c>
      <c r="B123" s="113">
        <f t="shared" si="91"/>
        <v>44895</v>
      </c>
      <c r="C123" s="118">
        <f t="shared" si="109"/>
        <v>298.82</v>
      </c>
      <c r="D123" s="181" t="s">
        <v>6</v>
      </c>
      <c r="E123" s="182">
        <f>IF(H122="AFIII",VLOOKUP($D123,Sheet1!$A$34:$K$48,5,FALSE),IF(H122="UBIII",VLOOKUP($D123,Sheet1!$A$34:$K$48,8,FALSE),VLOOKUP($D123,Sheet1!$A$34:$K$48,2,FALSE)))</f>
        <v>2.86</v>
      </c>
      <c r="F123" s="182">
        <f>ROUNDDOWN((IF(H122="AFIII",VLOOKUP($D123,Sheet1!$A$34:$K$48,5,FALSE),IF(H122="UBIII",VLOOKUP($D123,Sheet1!$A$34:$K$48,8,FALSE),VLOOKUP($D123,Sheet1!$A$34:$K$48,2,FALSE))))*0.85,2)</f>
        <v>2.4300000000000002</v>
      </c>
      <c r="G123" s="182">
        <f t="shared" si="113"/>
        <v>2.4300000000000002</v>
      </c>
      <c r="H123" s="183" t="s">
        <v>84</v>
      </c>
      <c r="I123" s="182">
        <f>I122-G123</f>
        <v>5.1400000000000006</v>
      </c>
      <c r="K123" s="182">
        <f t="shared" si="123"/>
        <v>8.1100000000000012</v>
      </c>
      <c r="L123" s="182">
        <f t="shared" si="107"/>
        <v>12.219999999999999</v>
      </c>
      <c r="R123" s="182">
        <f>R122-G123</f>
        <v>-12.059999999999995</v>
      </c>
      <c r="S123" s="183" t="s">
        <v>52</v>
      </c>
      <c r="T123" s="182">
        <f t="shared" si="116"/>
        <v>0.40999999999999925</v>
      </c>
      <c r="U123" s="184">
        <f t="shared" si="117"/>
        <v>60.409999999999954</v>
      </c>
      <c r="V123" s="201">
        <f>IF(H122="AFIII",VLOOKUP(D123,Sheet1!$A$4:$H$18,5,FALSE),IF(H122="UBIII",VLOOKUP(D123,Sheet1!$A$4:$H$18,8,FALSE),IF(H122="",VLOOKUP(D123,Sheet1!$A$4:$H$18,2,FALSE),"0")))</f>
        <v>1768</v>
      </c>
      <c r="W123" s="201">
        <f t="shared" si="92"/>
        <v>0</v>
      </c>
      <c r="X123" s="208">
        <f t="shared" si="111"/>
        <v>7414</v>
      </c>
      <c r="Y123" s="171" t="str">
        <f t="shared" si="93"/>
        <v>SUCCESS</v>
      </c>
      <c r="Z123" s="171" t="str">
        <f t="shared" si="94"/>
        <v>SUCCESS</v>
      </c>
      <c r="AA123" s="185">
        <f t="shared" si="98"/>
        <v>150.24094772772906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324</v>
      </c>
      <c r="B124" s="113">
        <f t="shared" si="91"/>
        <v>45219</v>
      </c>
      <c r="C124" s="118">
        <f t="shared" si="109"/>
        <v>300.84999999999997</v>
      </c>
      <c r="D124" s="181" t="s">
        <v>1</v>
      </c>
      <c r="E124" s="182">
        <f>IF(H123="AFIII",VLOOKUP($D124,Sheet1!$A$34:$K$48,5,FALSE),IF(H123="UBIII",VLOOKUP($D124,Sheet1!$A$34:$K$48,8,FALSE),VLOOKUP($D124,Sheet1!$A$34:$K$48,2,FALSE)))</f>
        <v>2.39</v>
      </c>
      <c r="F124" s="182">
        <f>ROUNDDOWN((IF(H123="AFIII",VLOOKUP($D124,Sheet1!$A$34:$K$48,5,FALSE),IF(H123="UBIII",VLOOKUP($D124,Sheet1!$A$34:$K$48,8,FALSE),VLOOKUP($D124,Sheet1!$A$34:$K$48,2,FALSE))))*0.85,2)</f>
        <v>2.0299999999999998</v>
      </c>
      <c r="G124" s="182">
        <f t="shared" si="113"/>
        <v>2.0299999999999998</v>
      </c>
      <c r="H124" s="183" t="s">
        <v>84</v>
      </c>
      <c r="I124" s="182">
        <v>10</v>
      </c>
      <c r="K124" s="182">
        <f t="shared" si="123"/>
        <v>6.0800000000000018</v>
      </c>
      <c r="L124" s="182">
        <f t="shared" si="107"/>
        <v>10.19</v>
      </c>
      <c r="T124" s="182">
        <f t="shared" si="116"/>
        <v>-1.6200000000000006</v>
      </c>
      <c r="U124" s="184">
        <f t="shared" si="117"/>
        <v>58.379999999999953</v>
      </c>
      <c r="V124" s="201">
        <f>IF(H123="AFIII",VLOOKUP(D124,Sheet1!$A$4:$H$18,5,FALSE),IF(H123="UBIII",VLOOKUP(D124,Sheet1!$A$4:$H$18,8,FALSE),IF(H123="",VLOOKUP(D124,Sheet1!$A$4:$H$18,2,FALSE),"0")))</f>
        <v>2120</v>
      </c>
      <c r="W124" s="201">
        <f t="shared" si="92"/>
        <v>0</v>
      </c>
      <c r="X124" s="208">
        <f t="shared" si="111"/>
        <v>5294</v>
      </c>
      <c r="Y124" s="171" t="str">
        <f t="shared" si="93"/>
        <v>SUCCESS</v>
      </c>
      <c r="Z124" s="171" t="str">
        <f t="shared" si="94"/>
        <v>SUCCESS</v>
      </c>
      <c r="AA124" s="185">
        <f t="shared" si="98"/>
        <v>150.30413827488783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504</v>
      </c>
      <c r="B125" s="113">
        <f t="shared" si="91"/>
        <v>45723</v>
      </c>
      <c r="C125" s="118">
        <f t="shared" si="109"/>
        <v>303.70999999999998</v>
      </c>
      <c r="D125" s="181" t="s">
        <v>6</v>
      </c>
      <c r="E125" s="182">
        <f>IF(H124="AFIII",VLOOKUP($D125,Sheet1!$A$34:$K$48,5,FALSE),IF(H124="UBIII",VLOOKUP($D125,Sheet1!$A$34:$K$48,8,FALSE),VLOOKUP($D125,Sheet1!$A$34:$K$48,2,FALSE)))</f>
        <v>2.86</v>
      </c>
      <c r="F125" s="182">
        <f>ROUNDDOWN((IF(H124="AFIII",VLOOKUP($D125,Sheet1!$A$34:$K$48,5,FALSE),IF(H124="UBIII",VLOOKUP($D125,Sheet1!$A$34:$K$48,8,FALSE),VLOOKUP($D125,Sheet1!$A$34:$K$48,2,FALSE))))*0.85,2)</f>
        <v>2.4300000000000002</v>
      </c>
      <c r="G125" s="182">
        <f t="shared" si="113"/>
        <v>2.86</v>
      </c>
      <c r="H125" s="183" t="s">
        <v>84</v>
      </c>
      <c r="I125" s="182">
        <f>I124-G125</f>
        <v>7.1400000000000006</v>
      </c>
      <c r="K125" s="182">
        <f t="shared" si="123"/>
        <v>3.220000000000002</v>
      </c>
      <c r="L125" s="182">
        <f t="shared" si="107"/>
        <v>7.33</v>
      </c>
      <c r="M125" s="183" t="s">
        <v>102</v>
      </c>
      <c r="O125" s="182">
        <v>60</v>
      </c>
      <c r="U125" s="184">
        <f t="shared" si="117"/>
        <v>55.519999999999953</v>
      </c>
      <c r="V125" s="201">
        <f>IF(H124="AFIII",VLOOKUP(D125,Sheet1!$A$4:$H$18,5,FALSE),IF(H124="UBIII",VLOOKUP(D125,Sheet1!$A$4:$H$18,8,FALSE),IF(H124="",VLOOKUP(D125,Sheet1!$A$4:$H$18,2,FALSE),"0")))</f>
        <v>1768</v>
      </c>
      <c r="W125" s="201">
        <f t="shared" si="92"/>
        <v>0</v>
      </c>
      <c r="X125" s="208">
        <f t="shared" si="111"/>
        <v>3526</v>
      </c>
      <c r="Y125" s="171" t="str">
        <f t="shared" si="93"/>
        <v>SUCCESS</v>
      </c>
      <c r="Z125" s="171" t="str">
        <f t="shared" si="94"/>
        <v>SUCCESS</v>
      </c>
      <c r="AA125" s="185">
        <f t="shared" si="98"/>
        <v>150.5482203417734</v>
      </c>
    </row>
    <row r="126" spans="1:27">
      <c r="A126" s="112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504</v>
      </c>
      <c r="B126" s="113">
        <f t="shared" si="91"/>
        <v>46227</v>
      </c>
      <c r="C126" s="118">
        <f t="shared" si="109"/>
        <v>306.09999999999997</v>
      </c>
      <c r="D126" s="181" t="s">
        <v>6</v>
      </c>
      <c r="E126" s="182">
        <f>IF(H125="AFIII",VLOOKUP($D126,Sheet1!$A$34:$K$48,5,FALSE),IF(H125="UBIII",VLOOKUP($D126,Sheet1!$A$34:$K$48,8,FALSE),VLOOKUP($D126,Sheet1!$A$34:$K$48,2,FALSE)))</f>
        <v>2.86</v>
      </c>
      <c r="F126" s="182">
        <f>ROUNDDOWN((IF(H125="AFIII",VLOOKUP($D126,Sheet1!$A$34:$K$48,5,FALSE),IF(H125="UBIII",VLOOKUP($D126,Sheet1!$A$34:$K$48,8,FALSE),VLOOKUP($D126,Sheet1!$A$34:$K$48,2,FALSE))))*0.85,2)</f>
        <v>2.4300000000000002</v>
      </c>
      <c r="G126" s="182">
        <f t="shared" si="113"/>
        <v>2.39</v>
      </c>
      <c r="H126" s="183" t="s">
        <v>84</v>
      </c>
      <c r="I126" s="182">
        <f t="shared" ref="I126" si="124">I125-G126</f>
        <v>4.75</v>
      </c>
      <c r="K126" s="182">
        <f t="shared" si="123"/>
        <v>0.83000000000000185</v>
      </c>
      <c r="L126" s="182">
        <f t="shared" si="107"/>
        <v>4.9399999999999995</v>
      </c>
      <c r="O126" s="182">
        <f>O125-G126</f>
        <v>57.61</v>
      </c>
      <c r="U126" s="184">
        <f t="shared" si="117"/>
        <v>53.129999999999953</v>
      </c>
      <c r="V126" s="201">
        <f>IF(H125="AFIII",VLOOKUP(D126,Sheet1!$A$4:$H$18,5,FALSE),IF(H125="UBIII",VLOOKUP(D126,Sheet1!$A$4:$H$18,8,FALSE),IF(H125="",VLOOKUP(D126,Sheet1!$A$4:$H$18,2,FALSE),"0")))</f>
        <v>1768</v>
      </c>
      <c r="W126" s="201">
        <f t="shared" si="92"/>
        <v>0</v>
      </c>
      <c r="X126" s="208">
        <f t="shared" si="111"/>
        <v>1758</v>
      </c>
      <c r="Y126" s="171" t="str">
        <f t="shared" si="93"/>
        <v>SUCCESS</v>
      </c>
      <c r="Z126" s="171" t="str">
        <f t="shared" si="94"/>
        <v>SUCCESS</v>
      </c>
      <c r="AA126" s="185">
        <f t="shared" si="98"/>
        <v>151.01927474681477</v>
      </c>
    </row>
    <row r="127" spans="1:27">
      <c r="A127" s="112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432</v>
      </c>
      <c r="B127" s="113">
        <f t="shared" si="91"/>
        <v>46659</v>
      </c>
      <c r="C127" s="118">
        <f t="shared" si="109"/>
        <v>308.48999999999995</v>
      </c>
      <c r="D127" s="181" t="s">
        <v>129</v>
      </c>
      <c r="E127" s="182">
        <f>IF(H126="AFIII",VLOOKUP($D127,Sheet1!$A$34:$K$48,5,FALSE),IF(H126="UBIII",VLOOKUP($D127,Sheet1!$A$34:$K$48,8,FALSE),VLOOKUP($D127,Sheet1!$A$34:$K$48,2,FALSE)))</f>
        <v>2.39</v>
      </c>
      <c r="F127" s="182">
        <f>ROUNDDOWN((IF(H126="AFIII",VLOOKUP($D127,Sheet1!$A$34:$K$48,5,FALSE),IF(H126="UBIII",VLOOKUP($D127,Sheet1!$A$34:$K$48,8,FALSE),VLOOKUP($D127,Sheet1!$A$34:$K$48,2,FALSE))))*0.85,2)</f>
        <v>2.0299999999999998</v>
      </c>
      <c r="G127" s="182">
        <f t="shared" si="113"/>
        <v>2.39</v>
      </c>
      <c r="H127" s="183" t="s">
        <v>84</v>
      </c>
      <c r="I127" s="182">
        <v>10</v>
      </c>
      <c r="K127" s="182">
        <f t="shared" si="123"/>
        <v>-1.5599999999999983</v>
      </c>
      <c r="L127" s="182">
        <f t="shared" si="107"/>
        <v>2.5499999999999994</v>
      </c>
      <c r="O127" s="182">
        <f t="shared" ref="O127:O142" si="125">O126-G127</f>
        <v>55.22</v>
      </c>
      <c r="U127" s="184">
        <f t="shared" si="117"/>
        <v>50.739999999999952</v>
      </c>
      <c r="V127" s="201">
        <f>IF(H126="AFIII",VLOOKUP(D127,Sheet1!$A$4:$H$18,5,FALSE),IF(H126="UBIII",VLOOKUP(D127,Sheet1!$A$4:$H$18,8,FALSE),IF(H126="",VLOOKUP(D127,Sheet1!$A$4:$H$18,2,FALSE),"0")))</f>
        <v>0</v>
      </c>
      <c r="W127" s="201">
        <f t="shared" si="92"/>
        <v>0</v>
      </c>
      <c r="X127" s="208">
        <f t="shared" si="111"/>
        <v>1758</v>
      </c>
      <c r="Y127" s="171" t="str">
        <f t="shared" si="93"/>
        <v>SUCCESS</v>
      </c>
      <c r="Z127" s="171" t="str">
        <f t="shared" si="94"/>
        <v>ERROR</v>
      </c>
      <c r="AA127" s="185">
        <f t="shared" si="98"/>
        <v>151.24963532043179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168</v>
      </c>
      <c r="B128" s="113">
        <f t="shared" si="91"/>
        <v>46827</v>
      </c>
      <c r="C128" s="118">
        <f t="shared" si="109"/>
        <v>310.87999999999994</v>
      </c>
      <c r="D128" s="181" t="s">
        <v>12</v>
      </c>
      <c r="E128" s="182">
        <f>IF(H127="AFIII",VLOOKUP($D128,Sheet1!$A$34:$K$48,5,FALSE),IF(H127="UBIII",VLOOKUP($D128,Sheet1!$A$34:$K$48,8,FALSE),VLOOKUP($D128,Sheet1!$A$34:$K$48,2,FALSE)))</f>
        <v>1.67</v>
      </c>
      <c r="F128" s="182">
        <f>ROUNDDOWN((IF(H127="AFIII",VLOOKUP($D128,Sheet1!$A$34:$K$48,5,FALSE),IF(H127="UBIII",VLOOKUP($D128,Sheet1!$A$34:$K$48,8,FALSE),VLOOKUP($D128,Sheet1!$A$34:$K$48,2,FALSE))))*0.85,2)</f>
        <v>1.41</v>
      </c>
      <c r="G128" s="182">
        <f t="shared" si="113"/>
        <v>2.39</v>
      </c>
      <c r="H128" s="183" t="s">
        <v>122</v>
      </c>
      <c r="I128" s="182">
        <v>10</v>
      </c>
      <c r="K128" s="182">
        <f t="shared" si="123"/>
        <v>-3.9499999999999984</v>
      </c>
      <c r="L128" s="182">
        <f t="shared" si="107"/>
        <v>0.15999999999999925</v>
      </c>
      <c r="O128" s="182">
        <f t="shared" si="125"/>
        <v>52.83</v>
      </c>
      <c r="U128" s="184">
        <f t="shared" si="117"/>
        <v>48.349999999999952</v>
      </c>
      <c r="V128" s="201">
        <f>IF(H127="AFIII",VLOOKUP(D128,Sheet1!$A$4:$H$18,5,FALSE),IF(H127="UBIII",VLOOKUP(D128,Sheet1!$A$4:$H$18,8,FALSE),IF(H127="",VLOOKUP(D128,Sheet1!$A$4:$H$18,2,FALSE),"0")))</f>
        <v>265</v>
      </c>
      <c r="W128" s="201">
        <f t="shared" si="92"/>
        <v>0</v>
      </c>
      <c r="X128" s="208">
        <f t="shared" si="111"/>
        <v>1493</v>
      </c>
      <c r="Y128" s="171" t="str">
        <f t="shared" si="93"/>
        <v>SUCCESS</v>
      </c>
      <c r="Z128" s="171" t="str">
        <f t="shared" si="94"/>
        <v>ERROR</v>
      </c>
      <c r="AA128" s="185">
        <f t="shared" si="98"/>
        <v>150.62725167267115</v>
      </c>
    </row>
    <row r="129" spans="1:27">
      <c r="A129" s="12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295</v>
      </c>
      <c r="B129" s="123">
        <f t="shared" si="91"/>
        <v>47122</v>
      </c>
      <c r="C129" s="124">
        <f>C128+G129</f>
        <v>313.73999999999995</v>
      </c>
      <c r="D129" s="186" t="s">
        <v>19</v>
      </c>
      <c r="E129" s="187">
        <f>IF(H128="AFIII",VLOOKUP($D129,Sheet1!$A$34:$K$48,5,FALSE),IF(H128="UBIII",VLOOKUP($D129,Sheet1!$A$34:$K$48,8,FALSE),VLOOKUP($D129,Sheet1!$A$34:$K$48,2,FALSE)))</f>
        <v>2.86</v>
      </c>
      <c r="F129" s="187">
        <f>ROUNDDOWN((IF(H128="AFIII",VLOOKUP($D129,Sheet1!$A$34:$K$48,5,FALSE),IF(H128="UBIII",VLOOKUP($D129,Sheet1!$A$34:$K$48,8,FALSE),VLOOKUP($D129,Sheet1!$A$34:$K$48,2,FALSE))))*0.85,2)</f>
        <v>2.4300000000000002</v>
      </c>
      <c r="G129" s="187">
        <f t="shared" si="113"/>
        <v>2.86</v>
      </c>
      <c r="H129" s="188" t="s">
        <v>122</v>
      </c>
      <c r="I129" s="187">
        <f>I128-G129</f>
        <v>7.1400000000000006</v>
      </c>
      <c r="J129" s="188" t="s">
        <v>138</v>
      </c>
      <c r="K129" s="187">
        <f t="shared" si="123"/>
        <v>-6.8099999999999987</v>
      </c>
      <c r="L129" s="187">
        <f t="shared" si="107"/>
        <v>-2.7000000000000006</v>
      </c>
      <c r="M129" s="188"/>
      <c r="N129" s="187"/>
      <c r="O129" s="187">
        <f t="shared" si="125"/>
        <v>49.97</v>
      </c>
      <c r="P129" s="188" t="s">
        <v>17</v>
      </c>
      <c r="Q129" s="187">
        <v>21</v>
      </c>
      <c r="R129" s="187"/>
      <c r="S129" s="188"/>
      <c r="T129" s="187"/>
      <c r="U129" s="189">
        <f t="shared" si="117"/>
        <v>45.489999999999952</v>
      </c>
      <c r="V129" s="209">
        <f>IF(H128="AFIII",VLOOKUP(D129,Sheet1!$A$4:$H$18,5,FALSE),IF(H128="UBIII",VLOOKUP(D129,Sheet1!$A$4:$H$18,8,FALSE),IF(H128="",VLOOKUP(D129,Sheet1!$A$4:$H$18,2,FALSE),"0")))</f>
        <v>1060</v>
      </c>
      <c r="W129" s="209">
        <f t="shared" si="92"/>
        <v>7033</v>
      </c>
      <c r="X129" s="210">
        <f t="shared" si="111"/>
        <v>7466</v>
      </c>
      <c r="Y129" s="190" t="str">
        <f t="shared" si="93"/>
        <v>SUCCESS</v>
      </c>
      <c r="Z129" s="190" t="str">
        <f t="shared" si="94"/>
        <v>ERROR</v>
      </c>
      <c r="AA129" s="185">
        <f t="shared" si="98"/>
        <v>150.19442850768155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168</v>
      </c>
      <c r="B130" s="113">
        <f t="shared" si="91"/>
        <v>47290</v>
      </c>
      <c r="C130" s="118">
        <f>C129+G130</f>
        <v>316.12999999999994</v>
      </c>
      <c r="D130" s="181" t="s">
        <v>4</v>
      </c>
      <c r="E130" s="182">
        <f>IF(H129="AFIII",VLOOKUP($D130,Sheet1!$A$34:$K$48,5,FALSE),IF(H129="UBIII",VLOOKUP($D130,Sheet1!$A$34:$K$48,8,FALSE),VLOOKUP($D130,Sheet1!$A$34:$K$48,2,FALSE)))</f>
        <v>1.67</v>
      </c>
      <c r="F130" s="182">
        <f>ROUNDDOWN((IF(H129="AFIII",VLOOKUP($D130,Sheet1!$A$34:$K$48,5,FALSE),IF(H129="UBIII",VLOOKUP($D130,Sheet1!$A$34:$K$48,8,FALSE),VLOOKUP($D130,Sheet1!$A$34:$K$48,2,FALSE))))*0.85,2)</f>
        <v>1.41</v>
      </c>
      <c r="G130" s="182">
        <f t="shared" si="113"/>
        <v>2.39</v>
      </c>
      <c r="H130" s="183" t="s">
        <v>84</v>
      </c>
      <c r="I130" s="182">
        <v>10</v>
      </c>
      <c r="J130" s="183" t="s">
        <v>105</v>
      </c>
      <c r="K130" s="182">
        <v>30</v>
      </c>
      <c r="L130" s="182">
        <v>90</v>
      </c>
      <c r="O130" s="182">
        <f t="shared" si="125"/>
        <v>47.58</v>
      </c>
      <c r="Q130" s="182">
        <f t="shared" ref="Q130:Q137" si="126">Q129-G130</f>
        <v>18.61</v>
      </c>
      <c r="U130" s="184">
        <f t="shared" si="117"/>
        <v>43.099999999999952</v>
      </c>
      <c r="V130" s="201">
        <f>IF(H129="AFIII",VLOOKUP(D130,Sheet1!$A$4:$H$18,5,FALSE),IF(H129="UBIII",VLOOKUP(D130,Sheet1!$A$4:$H$18,8,FALSE),IF(H129="",VLOOKUP(D130,Sheet1!$A$4:$H$18,2,FALSE),"0")))</f>
        <v>442</v>
      </c>
      <c r="W130" s="201">
        <f t="shared" si="92"/>
        <v>7033</v>
      </c>
      <c r="X130" s="208">
        <f t="shared" si="111"/>
        <v>10950</v>
      </c>
      <c r="Y130" s="171" t="str">
        <f t="shared" si="93"/>
        <v>SUCCESS</v>
      </c>
      <c r="Z130" s="171" t="str">
        <f t="shared" si="94"/>
        <v>ERROR</v>
      </c>
      <c r="AA130" s="185">
        <f t="shared" si="98"/>
        <v>149.59035839686209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504</v>
      </c>
      <c r="B131" s="113">
        <f t="shared" si="91"/>
        <v>47794</v>
      </c>
      <c r="C131" s="118">
        <f>C130+G131</f>
        <v>318.98999999999995</v>
      </c>
      <c r="D131" s="181" t="s">
        <v>6</v>
      </c>
      <c r="E131" s="182">
        <f>IF(H130="AFIII",VLOOKUP($D131,Sheet1!$A$34:$K$48,5,FALSE),IF(H130="UBIII",VLOOKUP($D131,Sheet1!$A$34:$K$48,8,FALSE),VLOOKUP($D131,Sheet1!$A$34:$K$48,2,FALSE)))</f>
        <v>2.86</v>
      </c>
      <c r="F131" s="182">
        <f>ROUNDDOWN((IF(H130="AFIII",VLOOKUP($D131,Sheet1!$A$34:$K$48,5,FALSE),IF(H130="UBIII",VLOOKUP($D131,Sheet1!$A$34:$K$48,8,FALSE),VLOOKUP($D131,Sheet1!$A$34:$K$48,2,FALSE))))*0.85,2)</f>
        <v>2.4300000000000002</v>
      </c>
      <c r="G131" s="182">
        <f t="shared" si="113"/>
        <v>2.86</v>
      </c>
      <c r="H131" s="183" t="s">
        <v>84</v>
      </c>
      <c r="I131" s="182">
        <f>I130-G131</f>
        <v>7.1400000000000006</v>
      </c>
      <c r="K131" s="182">
        <f>K130-G131</f>
        <v>27.14</v>
      </c>
      <c r="L131" s="182">
        <f>L130-G131</f>
        <v>87.14</v>
      </c>
      <c r="O131" s="182">
        <f t="shared" si="125"/>
        <v>44.72</v>
      </c>
      <c r="Q131" s="182">
        <f t="shared" si="126"/>
        <v>15.75</v>
      </c>
      <c r="U131" s="184">
        <f t="shared" si="117"/>
        <v>40.239999999999952</v>
      </c>
      <c r="V131" s="201">
        <f>IF(H130="AFIII",VLOOKUP(D131,Sheet1!$A$4:$H$18,5,FALSE),IF(H130="UBIII",VLOOKUP(D131,Sheet1!$A$4:$H$18,8,FALSE),IF(H130="",VLOOKUP(D131,Sheet1!$A$4:$H$18,2,FALSE),"0")))</f>
        <v>1768</v>
      </c>
      <c r="W131" s="201">
        <f t="shared" si="92"/>
        <v>0</v>
      </c>
      <c r="X131" s="208">
        <f t="shared" si="111"/>
        <v>9182</v>
      </c>
      <c r="Y131" s="171" t="str">
        <f t="shared" si="93"/>
        <v>SUCCESS</v>
      </c>
      <c r="Z131" s="171" t="str">
        <f t="shared" si="94"/>
        <v>SUCCESS</v>
      </c>
      <c r="AA131" s="185">
        <f t="shared" si="98"/>
        <v>149.82914824916145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91"/>
        <v>48298</v>
      </c>
      <c r="C132" s="118">
        <f>C131+G132</f>
        <v>321.84999999999997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113"/>
        <v>2.86</v>
      </c>
      <c r="H132" s="183" t="s">
        <v>84</v>
      </c>
      <c r="I132" s="182">
        <f>I131-G132</f>
        <v>4.2800000000000011</v>
      </c>
      <c r="K132" s="182">
        <f t="shared" ref="K132:K138" si="127">K131-G132</f>
        <v>24.28</v>
      </c>
      <c r="L132" s="182">
        <f t="shared" ref="L132:L165" si="128">L131-G132</f>
        <v>84.28</v>
      </c>
      <c r="O132" s="182">
        <f t="shared" si="125"/>
        <v>41.86</v>
      </c>
      <c r="P132" s="183" t="s">
        <v>131</v>
      </c>
      <c r="Q132" s="182">
        <f t="shared" si="126"/>
        <v>12.89</v>
      </c>
      <c r="R132" s="182">
        <v>60</v>
      </c>
      <c r="U132" s="184">
        <f t="shared" si="117"/>
        <v>37.379999999999953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92"/>
        <v>0</v>
      </c>
      <c r="X132" s="208">
        <f t="shared" si="111"/>
        <v>7414</v>
      </c>
      <c r="Y132" s="171" t="str">
        <f t="shared" si="93"/>
        <v>SUCCESS</v>
      </c>
      <c r="Z132" s="171" t="str">
        <f t="shared" si="94"/>
        <v>SUCCESS</v>
      </c>
      <c r="AA132" s="185">
        <f t="shared" si="98"/>
        <v>150.06369426751593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324</v>
      </c>
      <c r="B133" s="113">
        <f t="shared" si="91"/>
        <v>48622</v>
      </c>
      <c r="C133" s="118">
        <f t="shared" ref="C133:C165" si="129">C132+G133</f>
        <v>324.23999999999995</v>
      </c>
      <c r="D133" s="181" t="s">
        <v>1</v>
      </c>
      <c r="E133" s="182">
        <f>IF(H132="AFIII",VLOOKUP($D133,Sheet1!$A$34:$K$48,5,FALSE),IF(H132="UBIII",VLOOKUP($D133,Sheet1!$A$34:$K$48,8,FALSE),VLOOKUP($D133,Sheet1!$A$34:$K$48,2,FALSE)))</f>
        <v>2.39</v>
      </c>
      <c r="F133" s="182">
        <f>ROUNDDOWN((IF(H132="AFIII",VLOOKUP($D133,Sheet1!$A$34:$K$48,5,FALSE),IF(H132="UBIII",VLOOKUP($D133,Sheet1!$A$34:$K$48,8,FALSE),VLOOKUP($D133,Sheet1!$A$34:$K$48,2,FALSE))))*0.85,2)</f>
        <v>2.0299999999999998</v>
      </c>
      <c r="G133" s="182">
        <f t="shared" si="113"/>
        <v>2.39</v>
      </c>
      <c r="H133" s="183" t="s">
        <v>84</v>
      </c>
      <c r="I133" s="182">
        <v>10</v>
      </c>
      <c r="K133" s="182">
        <f t="shared" si="127"/>
        <v>21.89</v>
      </c>
      <c r="L133" s="182">
        <f t="shared" si="128"/>
        <v>81.89</v>
      </c>
      <c r="O133" s="182">
        <f t="shared" si="125"/>
        <v>39.47</v>
      </c>
      <c r="Q133" s="182">
        <f t="shared" si="126"/>
        <v>10.5</v>
      </c>
      <c r="R133" s="182">
        <f>R132-G133</f>
        <v>57.61</v>
      </c>
      <c r="U133" s="184">
        <f t="shared" si="117"/>
        <v>34.989999999999952</v>
      </c>
      <c r="V133" s="201">
        <f>IF(H132="AFIII",VLOOKUP(D133,Sheet1!$A$4:$H$18,5,FALSE),IF(H132="UBIII",VLOOKUP(D133,Sheet1!$A$4:$H$18,8,FALSE),IF(H132="",VLOOKUP(D133,Sheet1!$A$4:$H$18,2,FALSE),"0")))</f>
        <v>2120</v>
      </c>
      <c r="W133" s="201">
        <f t="shared" si="92"/>
        <v>0</v>
      </c>
      <c r="X133" s="208">
        <f t="shared" si="111"/>
        <v>5294</v>
      </c>
      <c r="Y133" s="171" t="str">
        <f t="shared" si="93"/>
        <v>SUCCESS</v>
      </c>
      <c r="Z133" s="171" t="str">
        <f t="shared" si="94"/>
        <v>SUCCESS</v>
      </c>
      <c r="AA133" s="185">
        <f t="shared" si="98"/>
        <v>149.95682210708119</v>
      </c>
    </row>
    <row r="134" spans="1:27">
      <c r="A134" s="11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432</v>
      </c>
      <c r="B134" s="113">
        <f t="shared" si="91"/>
        <v>49054</v>
      </c>
      <c r="C134" s="118">
        <f t="shared" si="129"/>
        <v>326.62999999999994</v>
      </c>
      <c r="D134" s="181" t="s">
        <v>129</v>
      </c>
      <c r="E134" s="182">
        <f>IF(H133="AFIII",VLOOKUP($D134,Sheet1!$A$34:$K$48,5,FALSE),IF(H133="UBIII",VLOOKUP($D134,Sheet1!$A$34:$K$48,8,FALSE),VLOOKUP($D134,Sheet1!$A$34:$K$48,2,FALSE)))</f>
        <v>2.39</v>
      </c>
      <c r="F134" s="182">
        <f>ROUNDDOWN((IF(H133="AFIII",VLOOKUP($D134,Sheet1!$A$34:$K$48,5,FALSE),IF(H133="UBIII",VLOOKUP($D134,Sheet1!$A$34:$K$48,8,FALSE),VLOOKUP($D134,Sheet1!$A$34:$K$48,2,FALSE))))*0.85,2)</f>
        <v>2.0299999999999998</v>
      </c>
      <c r="G134" s="182">
        <f t="shared" si="113"/>
        <v>2.39</v>
      </c>
      <c r="H134" s="183" t="s">
        <v>84</v>
      </c>
      <c r="I134" s="182">
        <v>10</v>
      </c>
      <c r="K134" s="182">
        <f t="shared" si="127"/>
        <v>19.5</v>
      </c>
      <c r="L134" s="182">
        <f t="shared" si="128"/>
        <v>79.5</v>
      </c>
      <c r="O134" s="182">
        <f t="shared" si="125"/>
        <v>37.08</v>
      </c>
      <c r="Q134" s="182">
        <f t="shared" si="126"/>
        <v>8.11</v>
      </c>
      <c r="R134" s="182">
        <f t="shared" ref="R134:R152" si="130">R133-G134</f>
        <v>55.22</v>
      </c>
      <c r="U134" s="184">
        <f t="shared" si="117"/>
        <v>32.599999999999952</v>
      </c>
      <c r="V134" s="201">
        <f>IF(H133="AFIII",VLOOKUP(D134,Sheet1!$A$4:$H$18,5,FALSE),IF(H133="UBIII",VLOOKUP(D134,Sheet1!$A$4:$H$18,8,FALSE),IF(H133="",VLOOKUP(D134,Sheet1!$A$4:$H$18,2,FALSE),"0")))</f>
        <v>0</v>
      </c>
      <c r="W134" s="201">
        <f t="shared" si="92"/>
        <v>0</v>
      </c>
      <c r="X134" s="208">
        <f t="shared" si="111"/>
        <v>5294</v>
      </c>
      <c r="Y134" s="171" t="str">
        <f t="shared" si="93"/>
        <v>SUCCESS</v>
      </c>
      <c r="Z134" s="171" t="str">
        <f t="shared" si="94"/>
        <v>SUCCESS</v>
      </c>
      <c r="AA134" s="185">
        <f t="shared" si="98"/>
        <v>150.18216330404437</v>
      </c>
    </row>
    <row r="135" spans="1:27">
      <c r="A135" s="112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504</v>
      </c>
      <c r="B135" s="113">
        <f t="shared" si="91"/>
        <v>49558</v>
      </c>
      <c r="C135" s="118">
        <f t="shared" si="129"/>
        <v>329.48999999999995</v>
      </c>
      <c r="D135" s="181" t="s">
        <v>6</v>
      </c>
      <c r="E135" s="182">
        <f>IF(H134="AFIII",VLOOKUP($D135,Sheet1!$A$34:$K$48,5,FALSE),IF(H134="UBIII",VLOOKUP($D135,Sheet1!$A$34:$K$48,8,FALSE),VLOOKUP($D135,Sheet1!$A$34:$K$48,2,FALSE)))</f>
        <v>2.86</v>
      </c>
      <c r="F135" s="182">
        <f>ROUNDDOWN((IF(H134="AFIII",VLOOKUP($D135,Sheet1!$A$34:$K$48,5,FALSE),IF(H134="UBIII",VLOOKUP($D135,Sheet1!$A$34:$K$48,8,FALSE),VLOOKUP($D135,Sheet1!$A$34:$K$48,2,FALSE))))*0.85,2)</f>
        <v>2.4300000000000002</v>
      </c>
      <c r="G135" s="182">
        <f t="shared" si="113"/>
        <v>2.86</v>
      </c>
      <c r="H135" s="183" t="s">
        <v>84</v>
      </c>
      <c r="I135" s="182">
        <f>I134-G135</f>
        <v>7.1400000000000006</v>
      </c>
      <c r="K135" s="182">
        <f t="shared" si="127"/>
        <v>16.64</v>
      </c>
      <c r="L135" s="182">
        <f t="shared" si="128"/>
        <v>76.64</v>
      </c>
      <c r="O135" s="182">
        <f t="shared" si="125"/>
        <v>34.22</v>
      </c>
      <c r="Q135" s="182">
        <f t="shared" si="126"/>
        <v>5.25</v>
      </c>
      <c r="R135" s="182">
        <f t="shared" si="130"/>
        <v>52.36</v>
      </c>
      <c r="U135" s="184">
        <f t="shared" si="117"/>
        <v>29.739999999999952</v>
      </c>
      <c r="V135" s="201">
        <f>IF(H134="AFIII",VLOOKUP(D135,Sheet1!$A$4:$H$18,5,FALSE),IF(H134="UBIII",VLOOKUP(D135,Sheet1!$A$4:$H$18,8,FALSE),IF(H134="",VLOOKUP(D135,Sheet1!$A$4:$H$18,2,FALSE),"0")))</f>
        <v>1768</v>
      </c>
      <c r="W135" s="201">
        <f t="shared" si="92"/>
        <v>0</v>
      </c>
      <c r="X135" s="208">
        <f t="shared" si="111"/>
        <v>3526</v>
      </c>
      <c r="Y135" s="171" t="str">
        <f t="shared" si="93"/>
        <v>SUCCESS</v>
      </c>
      <c r="Z135" s="171" t="str">
        <f t="shared" si="94"/>
        <v>SUCCESS</v>
      </c>
      <c r="AA135" s="185">
        <f t="shared" si="98"/>
        <v>150.40820662235578</v>
      </c>
    </row>
    <row r="136" spans="1:27">
      <c r="A136" s="112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504</v>
      </c>
      <c r="B136" s="113">
        <f t="shared" si="91"/>
        <v>50062</v>
      </c>
      <c r="C136" s="118">
        <f t="shared" si="129"/>
        <v>332.34999999999997</v>
      </c>
      <c r="D136" s="181" t="s">
        <v>6</v>
      </c>
      <c r="E136" s="182">
        <f>IF(H135="AFIII",VLOOKUP($D136,Sheet1!$A$34:$K$48,5,FALSE),IF(H135="UBIII",VLOOKUP($D136,Sheet1!$A$34:$K$48,8,FALSE),VLOOKUP($D136,Sheet1!$A$34:$K$48,2,FALSE)))</f>
        <v>2.86</v>
      </c>
      <c r="F136" s="182">
        <f>ROUNDDOWN((IF(H135="AFIII",VLOOKUP($D136,Sheet1!$A$34:$K$48,5,FALSE),IF(H135="UBIII",VLOOKUP($D136,Sheet1!$A$34:$K$48,8,FALSE),VLOOKUP($D136,Sheet1!$A$34:$K$48,2,FALSE))))*0.85,2)</f>
        <v>2.4300000000000002</v>
      </c>
      <c r="G136" s="182">
        <f t="shared" si="113"/>
        <v>2.86</v>
      </c>
      <c r="H136" s="183" t="s">
        <v>84</v>
      </c>
      <c r="I136" s="182">
        <f>I135-G136</f>
        <v>4.2800000000000011</v>
      </c>
      <c r="K136" s="182">
        <f t="shared" si="127"/>
        <v>13.780000000000001</v>
      </c>
      <c r="L136" s="182">
        <f t="shared" si="128"/>
        <v>73.78</v>
      </c>
      <c r="O136" s="182">
        <f t="shared" si="125"/>
        <v>31.36</v>
      </c>
      <c r="Q136" s="182">
        <f t="shared" si="126"/>
        <v>2.39</v>
      </c>
      <c r="R136" s="182">
        <f t="shared" si="130"/>
        <v>49.5</v>
      </c>
      <c r="U136" s="184">
        <f t="shared" si="117"/>
        <v>26.879999999999953</v>
      </c>
      <c r="V136" s="201">
        <f>IF(H135="AFIII",VLOOKUP(D136,Sheet1!$A$4:$H$18,5,FALSE),IF(H135="UBIII",VLOOKUP(D136,Sheet1!$A$4:$H$18,8,FALSE),IF(H135="",VLOOKUP(D136,Sheet1!$A$4:$H$18,2,FALSE),"0")))</f>
        <v>1768</v>
      </c>
      <c r="W136" s="201">
        <f t="shared" si="92"/>
        <v>0</v>
      </c>
      <c r="X136" s="208">
        <f t="shared" si="111"/>
        <v>1758</v>
      </c>
      <c r="Y136" s="171" t="str">
        <f t="shared" si="93"/>
        <v>SUCCESS</v>
      </c>
      <c r="Z136" s="171" t="str">
        <f t="shared" si="94"/>
        <v>SUCCESS</v>
      </c>
      <c r="AA136" s="185">
        <f t="shared" si="98"/>
        <v>150.63035956070408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168</v>
      </c>
      <c r="B137" s="113">
        <f t="shared" si="91"/>
        <v>50230</v>
      </c>
      <c r="C137" s="118">
        <f t="shared" si="129"/>
        <v>334.73999999999995</v>
      </c>
      <c r="D137" s="181" t="s">
        <v>12</v>
      </c>
      <c r="E137" s="182">
        <f>IF(H136="AFIII",VLOOKUP($D137,Sheet1!$A$34:$K$48,5,FALSE),IF(H136="UBIII",VLOOKUP($D137,Sheet1!$A$34:$K$48,8,FALSE),VLOOKUP($D137,Sheet1!$A$34:$K$48,2,FALSE)))</f>
        <v>1.67</v>
      </c>
      <c r="F137" s="182">
        <f>ROUNDDOWN((IF(H136="AFIII",VLOOKUP($D137,Sheet1!$A$34:$K$48,5,FALSE),IF(H136="UBIII",VLOOKUP($D137,Sheet1!$A$34:$K$48,8,FALSE),VLOOKUP($D137,Sheet1!$A$34:$K$48,2,FALSE))))*0.85,2)</f>
        <v>1.41</v>
      </c>
      <c r="G137" s="182">
        <f t="shared" si="113"/>
        <v>2.39</v>
      </c>
      <c r="H137" s="183" t="s">
        <v>122</v>
      </c>
      <c r="I137" s="182">
        <v>10</v>
      </c>
      <c r="K137" s="182">
        <f t="shared" si="127"/>
        <v>11.39</v>
      </c>
      <c r="L137" s="182">
        <f t="shared" si="128"/>
        <v>71.39</v>
      </c>
      <c r="O137" s="182">
        <f t="shared" si="125"/>
        <v>28.97</v>
      </c>
      <c r="Q137" s="182">
        <f t="shared" si="126"/>
        <v>0</v>
      </c>
      <c r="R137" s="182">
        <f t="shared" si="130"/>
        <v>47.11</v>
      </c>
      <c r="U137" s="184">
        <f t="shared" si="117"/>
        <v>24.489999999999952</v>
      </c>
      <c r="V137" s="201">
        <f>IF(H136="AFIII",VLOOKUP(D137,Sheet1!$A$4:$H$18,5,FALSE),IF(H136="UBIII",VLOOKUP(D137,Sheet1!$A$4:$H$18,8,FALSE),IF(H136="",VLOOKUP(D137,Sheet1!$A$4:$H$18,2,FALSE),"0")))</f>
        <v>265</v>
      </c>
      <c r="W137" s="201">
        <f t="shared" si="92"/>
        <v>0</v>
      </c>
      <c r="X137" s="208">
        <f t="shared" si="111"/>
        <v>1493</v>
      </c>
      <c r="Y137" s="171" t="str">
        <f t="shared" si="93"/>
        <v>SUCCESS</v>
      </c>
      <c r="Z137" s="171" t="str">
        <f t="shared" si="94"/>
        <v>SUCCESS</v>
      </c>
      <c r="AA137" s="185">
        <f t="shared" si="98"/>
        <v>150.0567604708132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295</v>
      </c>
      <c r="B138" s="113">
        <f t="shared" si="91"/>
        <v>50525</v>
      </c>
      <c r="C138" s="118">
        <f t="shared" si="129"/>
        <v>337.59999999999997</v>
      </c>
      <c r="D138" s="181" t="s">
        <v>19</v>
      </c>
      <c r="E138" s="182">
        <f>IF(H137="AFIII",VLOOKUP($D138,Sheet1!$A$34:$K$48,5,FALSE),IF(H137="UBIII",VLOOKUP($D138,Sheet1!$A$34:$K$48,8,FALSE),VLOOKUP($D138,Sheet1!$A$34:$K$48,2,FALSE)))</f>
        <v>2.86</v>
      </c>
      <c r="F138" s="182">
        <f>ROUNDDOWN((IF(H137="AFIII",VLOOKUP($D138,Sheet1!$A$34:$K$48,5,FALSE),IF(H137="UBIII",VLOOKUP($D138,Sheet1!$A$34:$K$48,8,FALSE),VLOOKUP($D138,Sheet1!$A$34:$K$48,2,FALSE))))*0.85,2)</f>
        <v>2.4300000000000002</v>
      </c>
      <c r="G138" s="182">
        <f t="shared" si="113"/>
        <v>2.86</v>
      </c>
      <c r="H138" s="183" t="s">
        <v>122</v>
      </c>
      <c r="I138" s="182">
        <f>I137-G138</f>
        <v>7.1400000000000006</v>
      </c>
      <c r="K138" s="182">
        <f t="shared" si="127"/>
        <v>8.5300000000000011</v>
      </c>
      <c r="L138" s="182">
        <f t="shared" si="128"/>
        <v>68.53</v>
      </c>
      <c r="O138" s="182">
        <f t="shared" si="125"/>
        <v>26.11</v>
      </c>
      <c r="P138" s="183" t="s">
        <v>17</v>
      </c>
      <c r="Q138" s="182">
        <v>21</v>
      </c>
      <c r="R138" s="182">
        <f t="shared" si="130"/>
        <v>44.25</v>
      </c>
      <c r="U138" s="184">
        <f t="shared" si="117"/>
        <v>21.629999999999953</v>
      </c>
      <c r="V138" s="201">
        <f>IF(H137="AFIII",VLOOKUP(D138,Sheet1!$A$4:$H$18,5,FALSE),IF(H137="UBIII",VLOOKUP(D138,Sheet1!$A$4:$H$18,8,FALSE),IF(H137="",VLOOKUP(D138,Sheet1!$A$4:$H$18,2,FALSE),"0")))</f>
        <v>1060</v>
      </c>
      <c r="W138" s="201">
        <f t="shared" si="92"/>
        <v>7033</v>
      </c>
      <c r="X138" s="208">
        <f t="shared" si="111"/>
        <v>7466</v>
      </c>
      <c r="Y138" s="171" t="str">
        <f t="shared" si="93"/>
        <v>SUCCESS</v>
      </c>
      <c r="Z138" s="171" t="str">
        <f t="shared" si="94"/>
        <v>SUCCESS</v>
      </c>
      <c r="AA138" s="185">
        <f t="shared" si="98"/>
        <v>149.65936018957348</v>
      </c>
    </row>
    <row r="139" spans="1:27">
      <c r="A139" s="119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280</v>
      </c>
      <c r="B139" s="120">
        <f t="shared" si="91"/>
        <v>50805</v>
      </c>
      <c r="C139" s="121">
        <f t="shared" si="129"/>
        <v>340.46</v>
      </c>
      <c r="D139" s="191" t="s">
        <v>14</v>
      </c>
      <c r="E139" s="192">
        <f>IF(H138="AFIII",VLOOKUP($D139,Sheet1!$A$34:$K$48,5,FALSE),IF(H138="UBIII",VLOOKUP($D139,Sheet1!$A$34:$K$48,8,FALSE),VLOOKUP($D139,Sheet1!$A$34:$K$48,2,FALSE)))</f>
        <v>2.86</v>
      </c>
      <c r="F139" s="192">
        <f>ROUNDDOWN((IF(H138="AFIII",VLOOKUP($D139,Sheet1!$A$34:$K$48,5,FALSE),IF(H138="UBIII",VLOOKUP($D139,Sheet1!$A$34:$K$48,8,FALSE),VLOOKUP($D139,Sheet1!$A$34:$K$48,2,FALSE))))*0.85,2)</f>
        <v>2.4300000000000002</v>
      </c>
      <c r="G139" s="192">
        <f t="shared" si="113"/>
        <v>2.86</v>
      </c>
      <c r="H139" s="193" t="s">
        <v>122</v>
      </c>
      <c r="I139" s="192">
        <f>I138-G139</f>
        <v>4.2800000000000011</v>
      </c>
      <c r="J139" s="193"/>
      <c r="K139" s="192">
        <v>25</v>
      </c>
      <c r="L139" s="192">
        <f t="shared" si="128"/>
        <v>65.67</v>
      </c>
      <c r="M139" s="193"/>
      <c r="N139" s="192"/>
      <c r="O139" s="192">
        <f t="shared" si="125"/>
        <v>23.25</v>
      </c>
      <c r="P139" s="193"/>
      <c r="Q139" s="192">
        <f>Q138-G139</f>
        <v>18.14</v>
      </c>
      <c r="R139" s="192">
        <f t="shared" si="130"/>
        <v>41.39</v>
      </c>
      <c r="S139" s="193"/>
      <c r="T139" s="192"/>
      <c r="U139" s="194">
        <f t="shared" si="117"/>
        <v>18.769999999999953</v>
      </c>
      <c r="V139" s="211">
        <f>IF(H138="AFIII",VLOOKUP(D139,Sheet1!$A$4:$H$18,5,FALSE),IF(H138="UBIII",VLOOKUP(D139,Sheet1!$A$4:$H$18,8,FALSE),IF(H138="",VLOOKUP(D139,Sheet1!$A$4:$H$18,2,FALSE),"0")))</f>
        <v>884</v>
      </c>
      <c r="W139" s="211">
        <f t="shared" si="92"/>
        <v>7033</v>
      </c>
      <c r="X139" s="212">
        <f t="shared" si="111"/>
        <v>10508</v>
      </c>
      <c r="Y139" s="195" t="str">
        <f t="shared" si="93"/>
        <v>SUCCESS</v>
      </c>
      <c r="Z139" s="195" t="str">
        <f t="shared" si="94"/>
        <v>SUCCESS</v>
      </c>
      <c r="AA139" s="185">
        <f t="shared" si="98"/>
        <v>149.22457851142573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168</v>
      </c>
      <c r="B140" s="113">
        <f t="shared" si="91"/>
        <v>50973</v>
      </c>
      <c r="C140" s="118">
        <f t="shared" si="129"/>
        <v>342.84999999999997</v>
      </c>
      <c r="D140" s="181" t="s">
        <v>4</v>
      </c>
      <c r="E140" s="182">
        <f>IF(H139="AFIII",VLOOKUP($D140,Sheet1!$A$34:$K$48,5,FALSE),IF(H139="UBIII",VLOOKUP($D140,Sheet1!$A$34:$K$48,8,FALSE),VLOOKUP($D140,Sheet1!$A$34:$K$48,2,FALSE)))</f>
        <v>1.67</v>
      </c>
      <c r="F140" s="182">
        <f>ROUNDDOWN((IF(H139="AFIII",VLOOKUP($D140,Sheet1!$A$34:$K$48,5,FALSE),IF(H139="UBIII",VLOOKUP($D140,Sheet1!$A$34:$K$48,8,FALSE),VLOOKUP($D140,Sheet1!$A$34:$K$48,2,FALSE))))*0.85,2)</f>
        <v>1.41</v>
      </c>
      <c r="G140" s="182">
        <f t="shared" si="113"/>
        <v>2.39</v>
      </c>
      <c r="H140" s="183" t="s">
        <v>84</v>
      </c>
      <c r="I140" s="182">
        <v>10</v>
      </c>
      <c r="K140" s="182">
        <f t="shared" ref="K140:K143" si="131">K139-G140</f>
        <v>22.61</v>
      </c>
      <c r="L140" s="182">
        <f t="shared" si="128"/>
        <v>63.28</v>
      </c>
      <c r="O140" s="182">
        <f t="shared" si="125"/>
        <v>20.86</v>
      </c>
      <c r="Q140" s="182">
        <f t="shared" ref="Q140:Q146" si="132">Q139-G140</f>
        <v>15.75</v>
      </c>
      <c r="R140" s="182">
        <f t="shared" si="130"/>
        <v>39</v>
      </c>
      <c r="U140" s="184">
        <f t="shared" si="117"/>
        <v>16.379999999999953</v>
      </c>
      <c r="V140" s="201">
        <f>IF(H139="AFIII",VLOOKUP(D140,Sheet1!$A$4:$H$18,5,FALSE),IF(H139="UBIII",VLOOKUP(D140,Sheet1!$A$4:$H$18,8,FALSE),IF(H139="",VLOOKUP(D140,Sheet1!$A$4:$H$18,2,FALSE),"0")))</f>
        <v>442</v>
      </c>
      <c r="W140" s="201">
        <f t="shared" si="92"/>
        <v>7033</v>
      </c>
      <c r="X140" s="208">
        <f t="shared" si="111"/>
        <v>10950</v>
      </c>
      <c r="Y140" s="171" t="str">
        <f t="shared" si="93"/>
        <v>SUCCESS</v>
      </c>
      <c r="Z140" s="171" t="str">
        <f t="shared" si="94"/>
        <v>SUCCESS</v>
      </c>
      <c r="AA140" s="185">
        <f t="shared" si="98"/>
        <v>148.67434738223716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504</v>
      </c>
      <c r="B141" s="113">
        <f t="shared" si="91"/>
        <v>51477</v>
      </c>
      <c r="C141" s="118">
        <f t="shared" si="129"/>
        <v>345.71</v>
      </c>
      <c r="D141" s="181" t="s">
        <v>6</v>
      </c>
      <c r="E141" s="182">
        <f>IF(H140="AFIII",VLOOKUP($D141,Sheet1!$A$34:$K$48,5,FALSE),IF(H140="UBIII",VLOOKUP($D141,Sheet1!$A$34:$K$48,8,FALSE),VLOOKUP($D141,Sheet1!$A$34:$K$48,2,FALSE)))</f>
        <v>2.86</v>
      </c>
      <c r="F141" s="182">
        <f>ROUNDDOWN((IF(H140="AFIII",VLOOKUP($D141,Sheet1!$A$34:$K$48,5,FALSE),IF(H140="UBIII",VLOOKUP($D141,Sheet1!$A$34:$K$48,8,FALSE),VLOOKUP($D141,Sheet1!$A$34:$K$48,2,FALSE))))*0.85,2)</f>
        <v>2.4300000000000002</v>
      </c>
      <c r="G141" s="182">
        <f t="shared" si="113"/>
        <v>2.86</v>
      </c>
      <c r="H141" s="183" t="s">
        <v>84</v>
      </c>
      <c r="I141" s="182">
        <f>I140-G141</f>
        <v>7.1400000000000006</v>
      </c>
      <c r="K141" s="182">
        <f t="shared" si="131"/>
        <v>19.75</v>
      </c>
      <c r="L141" s="182">
        <f t="shared" si="128"/>
        <v>60.42</v>
      </c>
      <c r="O141" s="182">
        <f t="shared" si="125"/>
        <v>18</v>
      </c>
      <c r="Q141" s="182">
        <f t="shared" si="132"/>
        <v>12.89</v>
      </c>
      <c r="R141" s="182">
        <f t="shared" si="130"/>
        <v>36.14</v>
      </c>
      <c r="U141" s="184">
        <f t="shared" si="117"/>
        <v>13.519999999999953</v>
      </c>
      <c r="V141" s="201">
        <f>IF(H140="AFIII",VLOOKUP(D141,Sheet1!$A$4:$H$18,5,FALSE),IF(H140="UBIII",VLOOKUP(D141,Sheet1!$A$4:$H$18,8,FALSE),IF(H140="",VLOOKUP(D141,Sheet1!$A$4:$H$18,2,FALSE),"0")))</f>
        <v>1768</v>
      </c>
      <c r="W141" s="201">
        <f t="shared" si="92"/>
        <v>0</v>
      </c>
      <c r="X141" s="208">
        <f t="shared" si="111"/>
        <v>9182</v>
      </c>
      <c r="Y141" s="171" t="str">
        <f t="shared" si="93"/>
        <v>SUCCESS</v>
      </c>
      <c r="Z141" s="171" t="str">
        <f t="shared" si="94"/>
        <v>SUCCESS</v>
      </c>
      <c r="AA141" s="185">
        <f t="shared" si="98"/>
        <v>148.90225911891471</v>
      </c>
    </row>
    <row r="142" spans="1:27">
      <c r="A142" s="112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504</v>
      </c>
      <c r="B142" s="113">
        <f t="shared" si="91"/>
        <v>51981</v>
      </c>
      <c r="C142" s="118">
        <f t="shared" si="129"/>
        <v>348.57</v>
      </c>
      <c r="D142" s="181" t="s">
        <v>6</v>
      </c>
      <c r="E142" s="182">
        <f>IF(H141="AFIII",VLOOKUP($D142,Sheet1!$A$34:$K$48,5,FALSE),IF(H141="UBIII",VLOOKUP($D142,Sheet1!$A$34:$K$48,8,FALSE),VLOOKUP($D142,Sheet1!$A$34:$K$48,2,FALSE)))</f>
        <v>2.86</v>
      </c>
      <c r="F142" s="182">
        <f>ROUNDDOWN((IF(H141="AFIII",VLOOKUP($D142,Sheet1!$A$34:$K$48,5,FALSE),IF(H141="UBIII",VLOOKUP($D142,Sheet1!$A$34:$K$48,8,FALSE),VLOOKUP($D142,Sheet1!$A$34:$K$48,2,FALSE))))*0.85,2)</f>
        <v>2.4300000000000002</v>
      </c>
      <c r="G142" s="182">
        <f t="shared" si="113"/>
        <v>2.86</v>
      </c>
      <c r="H142" s="183" t="s">
        <v>84</v>
      </c>
      <c r="I142" s="182">
        <f t="shared" ref="I142" si="133">I141-G142</f>
        <v>4.2800000000000011</v>
      </c>
      <c r="K142" s="182">
        <f t="shared" si="131"/>
        <v>16.89</v>
      </c>
      <c r="L142" s="182">
        <f t="shared" si="128"/>
        <v>57.56</v>
      </c>
      <c r="O142" s="182">
        <f t="shared" si="125"/>
        <v>15.14</v>
      </c>
      <c r="Q142" s="182">
        <f t="shared" si="132"/>
        <v>10.030000000000001</v>
      </c>
      <c r="R142" s="182">
        <f t="shared" si="130"/>
        <v>33.28</v>
      </c>
      <c r="U142" s="184">
        <f t="shared" si="117"/>
        <v>10.659999999999954</v>
      </c>
      <c r="V142" s="201">
        <f>IF(H141="AFIII",VLOOKUP(D142,Sheet1!$A$4:$H$18,5,FALSE),IF(H141="UBIII",VLOOKUP(D142,Sheet1!$A$4:$H$18,8,FALSE),IF(H141="",VLOOKUP(D142,Sheet1!$A$4:$H$18,2,FALSE),"0")))</f>
        <v>1768</v>
      </c>
      <c r="W142" s="201">
        <f t="shared" si="92"/>
        <v>0</v>
      </c>
      <c r="X142" s="208">
        <f t="shared" si="111"/>
        <v>7414</v>
      </c>
      <c r="Y142" s="171" t="str">
        <f t="shared" si="93"/>
        <v>SUCCESS</v>
      </c>
      <c r="Z142" s="171" t="str">
        <f t="shared" si="94"/>
        <v>SUCCESS</v>
      </c>
      <c r="AA142" s="185">
        <f t="shared" si="98"/>
        <v>149.12643084602806</v>
      </c>
    </row>
    <row r="143" spans="1:27">
      <c r="A143" s="112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324</v>
      </c>
      <c r="B143" s="113">
        <f t="shared" si="91"/>
        <v>52305</v>
      </c>
      <c r="C143" s="118">
        <f t="shared" si="129"/>
        <v>350.96</v>
      </c>
      <c r="D143" s="181" t="s">
        <v>1</v>
      </c>
      <c r="E143" s="182">
        <f>IF(H142="AFIII",VLOOKUP($D143,Sheet1!$A$34:$K$48,5,FALSE),IF(H142="UBIII",VLOOKUP($D143,Sheet1!$A$34:$K$48,8,FALSE),VLOOKUP($D143,Sheet1!$A$34:$K$48,2,FALSE)))</f>
        <v>2.39</v>
      </c>
      <c r="F143" s="182">
        <f>ROUNDDOWN((IF(H142="AFIII",VLOOKUP($D143,Sheet1!$A$34:$K$48,5,FALSE),IF(H142="UBIII",VLOOKUP($D143,Sheet1!$A$34:$K$48,8,FALSE),VLOOKUP($D143,Sheet1!$A$34:$K$48,2,FALSE))))*0.85,2)</f>
        <v>2.0299999999999998</v>
      </c>
      <c r="G143" s="182">
        <f t="shared" si="113"/>
        <v>2.39</v>
      </c>
      <c r="H143" s="183" t="s">
        <v>84</v>
      </c>
      <c r="I143" s="182">
        <v>10</v>
      </c>
      <c r="K143" s="182">
        <f t="shared" si="131"/>
        <v>14.5</v>
      </c>
      <c r="L143" s="182">
        <f t="shared" si="128"/>
        <v>55.17</v>
      </c>
      <c r="O143" s="182">
        <f>O142-G143</f>
        <v>12.75</v>
      </c>
      <c r="Q143" s="182">
        <f t="shared" si="132"/>
        <v>7.6400000000000006</v>
      </c>
      <c r="R143" s="182">
        <f t="shared" si="130"/>
        <v>30.89</v>
      </c>
      <c r="U143" s="184">
        <f t="shared" si="117"/>
        <v>8.2699999999999534</v>
      </c>
      <c r="V143" s="201">
        <f>IF(H142="AFIII",VLOOKUP(D143,Sheet1!$A$4:$H$18,5,FALSE),IF(H142="UBIII",VLOOKUP(D143,Sheet1!$A$4:$H$18,8,FALSE),IF(H142="",VLOOKUP(D143,Sheet1!$A$4:$H$18,2,FALSE),"0")))</f>
        <v>2120</v>
      </c>
      <c r="W143" s="201">
        <f t="shared" si="92"/>
        <v>0</v>
      </c>
      <c r="X143" s="208">
        <f t="shared" si="111"/>
        <v>5294</v>
      </c>
      <c r="Y143" s="171" t="str">
        <f t="shared" si="93"/>
        <v>SUCCESS</v>
      </c>
      <c r="Z143" s="171" t="str">
        <f t="shared" si="94"/>
        <v>SUCCESS</v>
      </c>
      <c r="AA143" s="185">
        <f t="shared" si="98"/>
        <v>149.03407795760202</v>
      </c>
    </row>
    <row r="144" spans="1:27">
      <c r="A144" s="11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504</v>
      </c>
      <c r="B144" s="113">
        <f t="shared" si="91"/>
        <v>52809</v>
      </c>
      <c r="C144" s="118">
        <f t="shared" si="129"/>
        <v>353.82</v>
      </c>
      <c r="D144" s="181" t="s">
        <v>6</v>
      </c>
      <c r="E144" s="182">
        <f>IF(H143="AFIII",VLOOKUP($D144,Sheet1!$A$34:$K$48,5,FALSE),IF(H143="UBIII",VLOOKUP($D144,Sheet1!$A$34:$K$48,8,FALSE),VLOOKUP($D144,Sheet1!$A$34:$K$48,2,FALSE)))</f>
        <v>2.86</v>
      </c>
      <c r="F144" s="182">
        <f>ROUNDDOWN((IF(H143="AFIII",VLOOKUP($D144,Sheet1!$A$34:$K$48,5,FALSE),IF(H143="UBIII",VLOOKUP($D144,Sheet1!$A$34:$K$48,8,FALSE),VLOOKUP($D144,Sheet1!$A$34:$K$48,2,FALSE))))*0.85,2)</f>
        <v>2.4300000000000002</v>
      </c>
      <c r="G144" s="182">
        <f t="shared" si="113"/>
        <v>2.86</v>
      </c>
      <c r="H144" s="183" t="s">
        <v>84</v>
      </c>
      <c r="I144" s="182">
        <f t="shared" ref="I144:I145" si="134">I143-G144</f>
        <v>7.1400000000000006</v>
      </c>
      <c r="K144" s="182">
        <f>K143-G144</f>
        <v>11.64</v>
      </c>
      <c r="L144" s="182">
        <f t="shared" si="128"/>
        <v>52.31</v>
      </c>
      <c r="O144" s="182">
        <f t="shared" ref="O144:O150" si="135">O143-G144</f>
        <v>9.89</v>
      </c>
      <c r="Q144" s="182">
        <f t="shared" si="132"/>
        <v>4.7800000000000011</v>
      </c>
      <c r="R144" s="182">
        <f t="shared" si="130"/>
        <v>28.03</v>
      </c>
      <c r="U144" s="184">
        <f t="shared" si="117"/>
        <v>5.409999999999954</v>
      </c>
      <c r="V144" s="201">
        <f>IF(H143="AFIII",VLOOKUP(D144,Sheet1!$A$4:$H$18,5,FALSE),IF(H143="UBIII",VLOOKUP(D144,Sheet1!$A$4:$H$18,8,FALSE),IF(H143="",VLOOKUP(D144,Sheet1!$A$4:$H$18,2,FALSE),"0")))</f>
        <v>1768</v>
      </c>
      <c r="W144" s="201">
        <f t="shared" si="92"/>
        <v>0</v>
      </c>
      <c r="X144" s="208">
        <f t="shared" si="111"/>
        <v>3526</v>
      </c>
      <c r="Y144" s="171" t="str">
        <f t="shared" si="93"/>
        <v>SUCCESS</v>
      </c>
      <c r="Z144" s="171" t="str">
        <f t="shared" si="94"/>
        <v>SUCCESS</v>
      </c>
      <c r="AA144" s="185">
        <f t="shared" si="98"/>
        <v>149.25385789384433</v>
      </c>
    </row>
    <row r="145" spans="1:27">
      <c r="A145" s="112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504</v>
      </c>
      <c r="B145" s="113">
        <f t="shared" si="91"/>
        <v>53313</v>
      </c>
      <c r="C145" s="118">
        <f t="shared" si="129"/>
        <v>356.68</v>
      </c>
      <c r="D145" s="181" t="s">
        <v>6</v>
      </c>
      <c r="E145" s="182">
        <f>IF(H144="AFIII",VLOOKUP($D145,Sheet1!$A$34:$K$48,5,FALSE),IF(H144="UBIII",VLOOKUP($D145,Sheet1!$A$34:$K$48,8,FALSE),VLOOKUP($D145,Sheet1!$A$34:$K$48,2,FALSE)))</f>
        <v>2.86</v>
      </c>
      <c r="F145" s="182">
        <f>ROUNDDOWN((IF(H144="AFIII",VLOOKUP($D145,Sheet1!$A$34:$K$48,5,FALSE),IF(H144="UBIII",VLOOKUP($D145,Sheet1!$A$34:$K$48,8,FALSE),VLOOKUP($D145,Sheet1!$A$34:$K$48,2,FALSE))))*0.85,2)</f>
        <v>2.4300000000000002</v>
      </c>
      <c r="G145" s="182">
        <f>IF(M144="迅速",IF(S144="黒魔紋",$F$1,$E$1),IF(S144="黒魔紋",IF(F145&lt;$F$1,$F$1,F145),IF(E145&lt;$E$1,$E$1,E145)))</f>
        <v>2.86</v>
      </c>
      <c r="H145" s="183" t="s">
        <v>84</v>
      </c>
      <c r="I145" s="182">
        <f t="shared" si="134"/>
        <v>4.2800000000000011</v>
      </c>
      <c r="K145" s="182">
        <f t="shared" ref="K145:K147" si="136">K144-G145</f>
        <v>8.7800000000000011</v>
      </c>
      <c r="L145" s="182">
        <f t="shared" si="128"/>
        <v>49.45</v>
      </c>
      <c r="O145" s="182">
        <f t="shared" si="135"/>
        <v>7.0300000000000011</v>
      </c>
      <c r="Q145" s="182">
        <f t="shared" si="132"/>
        <v>1.9200000000000013</v>
      </c>
      <c r="R145" s="182">
        <f t="shared" si="130"/>
        <v>25.17</v>
      </c>
      <c r="U145" s="184">
        <f t="shared" si="117"/>
        <v>2.5499999999999541</v>
      </c>
      <c r="V145" s="201">
        <f>IF(H144="AFIII",VLOOKUP(D145,Sheet1!$A$4:$H$18,5,FALSE),IF(H144="UBIII",VLOOKUP(D145,Sheet1!$A$4:$H$18,8,FALSE),IF(H144="",VLOOKUP(D145,Sheet1!$A$4:$H$18,2,FALSE),"0")))</f>
        <v>1768</v>
      </c>
      <c r="W145" s="201">
        <f t="shared" si="92"/>
        <v>0</v>
      </c>
      <c r="X145" s="208">
        <f t="shared" si="111"/>
        <v>1758</v>
      </c>
      <c r="Y145" s="171" t="str">
        <f t="shared" si="93"/>
        <v>SUCCESS</v>
      </c>
      <c r="Z145" s="171" t="str">
        <f t="shared" si="94"/>
        <v>SUCCESS</v>
      </c>
      <c r="AA145" s="185">
        <f t="shared" si="98"/>
        <v>149.47011326679376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432</v>
      </c>
      <c r="B146" s="113">
        <f t="shared" si="91"/>
        <v>53745</v>
      </c>
      <c r="C146" s="118">
        <f t="shared" si="129"/>
        <v>359.07</v>
      </c>
      <c r="D146" s="181" t="s">
        <v>129</v>
      </c>
      <c r="E146" s="182">
        <f>IF(H145="AFIII",VLOOKUP($D146,Sheet1!$A$34:$K$48,5,FALSE),IF(H145="UBIII",VLOOKUP($D146,Sheet1!$A$34:$K$48,8,FALSE),VLOOKUP($D146,Sheet1!$A$34:$K$48,2,FALSE)))</f>
        <v>2.39</v>
      </c>
      <c r="F146" s="182">
        <f>ROUNDDOWN((IF(H145="AFIII",VLOOKUP($D146,Sheet1!$A$34:$K$48,5,FALSE),IF(H145="UBIII",VLOOKUP($D146,Sheet1!$A$34:$K$48,8,FALSE),VLOOKUP($D146,Sheet1!$A$34:$K$48,2,FALSE))))*0.85,2)</f>
        <v>2.0299999999999998</v>
      </c>
      <c r="G146" s="182">
        <f t="shared" ref="G146:G165" si="137">IF(M145="迅速",IF(S145="黒魔紋",$F$1,$E$1),IF(S145="黒魔紋",IF(F146&lt;$F$1,$F$1,F146),IF(E146&lt;$E$1,$E$1,E146)))</f>
        <v>2.39</v>
      </c>
      <c r="H146" s="183" t="s">
        <v>84</v>
      </c>
      <c r="I146" s="182">
        <v>10</v>
      </c>
      <c r="K146" s="182">
        <f t="shared" si="136"/>
        <v>6.3900000000000006</v>
      </c>
      <c r="L146" s="182">
        <f t="shared" si="128"/>
        <v>47.06</v>
      </c>
      <c r="O146" s="182">
        <f t="shared" si="135"/>
        <v>4.6400000000000006</v>
      </c>
      <c r="Q146" s="182">
        <f t="shared" si="132"/>
        <v>-0.46999999999999886</v>
      </c>
      <c r="R146" s="182">
        <f t="shared" si="130"/>
        <v>22.78</v>
      </c>
      <c r="U146" s="184">
        <f t="shared" si="117"/>
        <v>0.15999999999995396</v>
      </c>
      <c r="V146" s="201">
        <f>IF(H145="AFIII",VLOOKUP(D146,Sheet1!$A$4:$H$18,5,FALSE),IF(H145="UBIII",VLOOKUP(D146,Sheet1!$A$4:$H$18,8,FALSE),IF(H145="",VLOOKUP(D146,Sheet1!$A$4:$H$18,2,FALSE),"0")))</f>
        <v>0</v>
      </c>
      <c r="W146" s="201">
        <f t="shared" si="92"/>
        <v>0</v>
      </c>
      <c r="X146" s="208">
        <f t="shared" si="111"/>
        <v>1758</v>
      </c>
      <c r="Y146" s="171" t="str">
        <f t="shared" si="93"/>
        <v>SUCCESS</v>
      </c>
      <c r="Z146" s="171" t="str">
        <f t="shared" si="94"/>
        <v>SUCCESS</v>
      </c>
      <c r="AA146" s="185">
        <f t="shared" si="98"/>
        <v>149.67833570055978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168</v>
      </c>
      <c r="B147" s="113">
        <f t="shared" ref="B147:B165" si="138">B146+A147</f>
        <v>53913</v>
      </c>
      <c r="C147" s="118">
        <f t="shared" si="129"/>
        <v>361.46</v>
      </c>
      <c r="D147" s="181" t="s">
        <v>12</v>
      </c>
      <c r="E147" s="182">
        <f>IF(H146="AFIII",VLOOKUP($D147,Sheet1!$A$34:$K$48,5,FALSE),IF(H146="UBIII",VLOOKUP($D147,Sheet1!$A$34:$K$48,8,FALSE),VLOOKUP($D147,Sheet1!$A$34:$K$48,2,FALSE)))</f>
        <v>1.67</v>
      </c>
      <c r="F147" s="182">
        <f>ROUNDDOWN((IF(H146="AFIII",VLOOKUP($D147,Sheet1!$A$34:$K$48,5,FALSE),IF(H146="UBIII",VLOOKUP($D147,Sheet1!$A$34:$K$48,8,FALSE),VLOOKUP($D147,Sheet1!$A$34:$K$48,2,FALSE))))*0.85,2)</f>
        <v>1.41</v>
      </c>
      <c r="G147" s="182">
        <f t="shared" si="137"/>
        <v>2.39</v>
      </c>
      <c r="H147" s="183" t="s">
        <v>122</v>
      </c>
      <c r="I147" s="182">
        <f t="shared" ref="I147:I148" si="139">I146-G147</f>
        <v>7.6099999999999994</v>
      </c>
      <c r="K147" s="182">
        <f t="shared" si="136"/>
        <v>4</v>
      </c>
      <c r="L147" s="182">
        <f t="shared" si="128"/>
        <v>44.67</v>
      </c>
      <c r="O147" s="182">
        <f t="shared" si="135"/>
        <v>2.2500000000000004</v>
      </c>
      <c r="R147" s="182">
        <f t="shared" si="130"/>
        <v>20.39</v>
      </c>
      <c r="U147" s="184">
        <f t="shared" si="117"/>
        <v>-2.2300000000000462</v>
      </c>
      <c r="V147" s="201">
        <f>IF(H146="AFIII",VLOOKUP(D147,Sheet1!$A$4:$H$18,5,FALSE),IF(H146="UBIII",VLOOKUP(D147,Sheet1!$A$4:$H$18,8,FALSE),IF(H146="",VLOOKUP(D147,Sheet1!$A$4:$H$18,2,FALSE),"0")))</f>
        <v>265</v>
      </c>
      <c r="W147" s="201">
        <f t="shared" ref="W147:W165" si="140">IF(H146="UBIII",$X$2,0)</f>
        <v>0</v>
      </c>
      <c r="X147" s="208">
        <f t="shared" si="111"/>
        <v>1493</v>
      </c>
      <c r="Y147" s="171" t="str">
        <f t="shared" ref="Y147:Y165" si="141">IF(X146-V147&lt;0,"ERROR","SUCCESS")</f>
        <v>SUCCESS</v>
      </c>
      <c r="Z147" s="171" t="str">
        <f t="shared" ref="Z147:Z165" si="142">IF(K146-G147&lt;0,"ERROR","SUCCESS")</f>
        <v>SUCCESS</v>
      </c>
      <c r="AA147" s="185">
        <f t="shared" si="98"/>
        <v>149.15343329829028</v>
      </c>
    </row>
    <row r="148" spans="1:27">
      <c r="A148" s="119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280</v>
      </c>
      <c r="B148" s="120">
        <f t="shared" si="138"/>
        <v>54193</v>
      </c>
      <c r="C148" s="121">
        <f t="shared" si="129"/>
        <v>364.32</v>
      </c>
      <c r="D148" s="191" t="s">
        <v>14</v>
      </c>
      <c r="E148" s="192">
        <f>IF(H147="AFIII",VLOOKUP($D148,Sheet1!$A$34:$K$48,5,FALSE),IF(H147="UBIII",VLOOKUP($D148,Sheet1!$A$34:$K$48,8,FALSE),VLOOKUP($D148,Sheet1!$A$34:$K$48,2,FALSE)))</f>
        <v>2.86</v>
      </c>
      <c r="F148" s="192">
        <f>ROUNDDOWN((IF(H147="AFIII",VLOOKUP($D148,Sheet1!$A$34:$K$48,5,FALSE),IF(H147="UBIII",VLOOKUP($D148,Sheet1!$A$34:$K$48,8,FALSE),VLOOKUP($D148,Sheet1!$A$34:$K$48,2,FALSE))))*0.85,2)</f>
        <v>2.4300000000000002</v>
      </c>
      <c r="G148" s="192">
        <f t="shared" si="137"/>
        <v>2.86</v>
      </c>
      <c r="H148" s="193" t="s">
        <v>122</v>
      </c>
      <c r="I148" s="192">
        <f t="shared" si="139"/>
        <v>4.75</v>
      </c>
      <c r="J148" s="193"/>
      <c r="K148" s="192">
        <v>20</v>
      </c>
      <c r="L148" s="192">
        <f t="shared" si="128"/>
        <v>41.81</v>
      </c>
      <c r="M148" s="193"/>
      <c r="N148" s="192"/>
      <c r="O148" s="192">
        <f t="shared" si="135"/>
        <v>-0.60999999999999943</v>
      </c>
      <c r="P148" s="193"/>
      <c r="Q148" s="192"/>
      <c r="R148" s="192">
        <f t="shared" si="130"/>
        <v>17.53</v>
      </c>
      <c r="S148" s="193"/>
      <c r="T148" s="192"/>
      <c r="U148" s="194">
        <f t="shared" si="117"/>
        <v>-5.090000000000046</v>
      </c>
      <c r="V148" s="211">
        <f>IF(H147="AFIII",VLOOKUP(D148,Sheet1!$A$4:$H$18,5,FALSE),IF(H147="UBIII",VLOOKUP(D148,Sheet1!$A$4:$H$18,8,FALSE),IF(H147="",VLOOKUP(D148,Sheet1!$A$4:$H$18,2,FALSE),"0")))</f>
        <v>884</v>
      </c>
      <c r="W148" s="211">
        <f t="shared" si="140"/>
        <v>7033</v>
      </c>
      <c r="X148" s="212">
        <f t="shared" si="111"/>
        <v>7642</v>
      </c>
      <c r="Y148" s="195" t="str">
        <f t="shared" si="141"/>
        <v>SUCCESS</v>
      </c>
      <c r="Z148" s="195" t="str">
        <f t="shared" si="142"/>
        <v>SUCCESS</v>
      </c>
      <c r="AA148" s="185">
        <f t="shared" si="98"/>
        <v>148.75109793588055</v>
      </c>
    </row>
    <row r="149" spans="1:27">
      <c r="A149" s="112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168</v>
      </c>
      <c r="B149" s="113">
        <f t="shared" si="138"/>
        <v>54361</v>
      </c>
      <c r="C149" s="118">
        <f t="shared" si="129"/>
        <v>366.71</v>
      </c>
      <c r="D149" s="181" t="s">
        <v>4</v>
      </c>
      <c r="E149" s="182">
        <f>IF(H148="AFIII",VLOOKUP($D149,Sheet1!$A$34:$K$48,5,FALSE),IF(H148="UBIII",VLOOKUP($D149,Sheet1!$A$34:$K$48,8,FALSE),VLOOKUP($D149,Sheet1!$A$34:$K$48,2,FALSE)))</f>
        <v>1.67</v>
      </c>
      <c r="F149" s="182">
        <f>ROUNDDOWN((IF(H148="AFIII",VLOOKUP($D149,Sheet1!$A$34:$K$48,5,FALSE),IF(H148="UBIII",VLOOKUP($D149,Sheet1!$A$34:$K$48,8,FALSE),VLOOKUP($D149,Sheet1!$A$34:$K$48,2,FALSE))))*0.85,2)</f>
        <v>1.41</v>
      </c>
      <c r="G149" s="182">
        <f t="shared" si="137"/>
        <v>2.39</v>
      </c>
      <c r="H149" s="183" t="s">
        <v>84</v>
      </c>
      <c r="I149" s="182">
        <v>10</v>
      </c>
      <c r="K149" s="182">
        <f t="shared" ref="K149:K155" si="143">K148-G149</f>
        <v>17.61</v>
      </c>
      <c r="L149" s="182">
        <f t="shared" si="128"/>
        <v>39.42</v>
      </c>
      <c r="M149" s="183" t="s">
        <v>135</v>
      </c>
      <c r="O149" s="182">
        <f t="shared" si="135"/>
        <v>-2.9999999999999996</v>
      </c>
      <c r="R149" s="182">
        <f t="shared" si="130"/>
        <v>15.14</v>
      </c>
      <c r="S149" s="183" t="s">
        <v>87</v>
      </c>
      <c r="T149" s="182">
        <v>30</v>
      </c>
      <c r="U149" s="184">
        <v>90</v>
      </c>
      <c r="V149" s="201">
        <f>IF(H148="AFIII",VLOOKUP(D149,Sheet1!$A$4:$H$18,5,FALSE),IF(H148="UBIII",VLOOKUP(D149,Sheet1!$A$4:$H$18,8,FALSE),IF(H148="",VLOOKUP(D149,Sheet1!$A$4:$H$18,2,FALSE),"0")))</f>
        <v>442</v>
      </c>
      <c r="W149" s="201">
        <f t="shared" si="140"/>
        <v>7033</v>
      </c>
      <c r="X149" s="208">
        <f t="shared" si="111"/>
        <v>10950</v>
      </c>
      <c r="Y149" s="171" t="str">
        <f t="shared" si="141"/>
        <v>SUCCESS</v>
      </c>
      <c r="Z149" s="171" t="str">
        <f t="shared" si="142"/>
        <v>SUCCESS</v>
      </c>
      <c r="AA149" s="185">
        <f t="shared" si="98"/>
        <v>148.23975348367921</v>
      </c>
    </row>
    <row r="150" spans="1:27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504</v>
      </c>
      <c r="B150" s="113">
        <f t="shared" si="138"/>
        <v>54865</v>
      </c>
      <c r="C150" s="118">
        <f t="shared" si="129"/>
        <v>369.14</v>
      </c>
      <c r="D150" s="181" t="s">
        <v>6</v>
      </c>
      <c r="E150" s="182">
        <f>IF(H149="AFIII",VLOOKUP($D150,Sheet1!$A$34:$K$48,5,FALSE),IF(H149="UBIII",VLOOKUP($D150,Sheet1!$A$34:$K$48,8,FALSE),VLOOKUP($D150,Sheet1!$A$34:$K$48,2,FALSE)))</f>
        <v>2.86</v>
      </c>
      <c r="F150" s="182">
        <f>ROUNDDOWN((IF(H149="AFIII",VLOOKUP($D150,Sheet1!$A$34:$K$48,5,FALSE),IF(H149="UBIII",VLOOKUP($D150,Sheet1!$A$34:$K$48,8,FALSE),VLOOKUP($D150,Sheet1!$A$34:$K$48,2,FALSE))))*0.85,2)</f>
        <v>2.4300000000000002</v>
      </c>
      <c r="G150" s="182">
        <f t="shared" si="137"/>
        <v>2.4300000000000002</v>
      </c>
      <c r="H150" s="183" t="s">
        <v>84</v>
      </c>
      <c r="I150" s="182">
        <f t="shared" ref="I150:I151" si="144">I149-G150</f>
        <v>7.57</v>
      </c>
      <c r="K150" s="182">
        <f t="shared" si="143"/>
        <v>15.18</v>
      </c>
      <c r="L150" s="182">
        <f t="shared" si="128"/>
        <v>36.99</v>
      </c>
      <c r="O150" s="182">
        <f t="shared" si="135"/>
        <v>-5.43</v>
      </c>
      <c r="R150" s="182">
        <f t="shared" si="130"/>
        <v>12.71</v>
      </c>
      <c r="S150" s="183" t="s">
        <v>87</v>
      </c>
      <c r="T150" s="182">
        <f t="shared" ref="T150:T162" si="145">T149-G150</f>
        <v>27.57</v>
      </c>
      <c r="U150" s="184">
        <f t="shared" ref="U150:U165" si="146">U149-G150</f>
        <v>87.57</v>
      </c>
      <c r="V150" s="201">
        <f>IF(H149="AFIII",VLOOKUP(D150,Sheet1!$A$4:$H$18,5,FALSE),IF(H149="UBIII",VLOOKUP(D150,Sheet1!$A$4:$H$18,8,FALSE),IF(H149="",VLOOKUP(D150,Sheet1!$A$4:$H$18,2,FALSE),"0")))</f>
        <v>1768</v>
      </c>
      <c r="W150" s="201">
        <f t="shared" si="140"/>
        <v>0</v>
      </c>
      <c r="X150" s="208">
        <f t="shared" si="111"/>
        <v>9182</v>
      </c>
      <c r="Y150" s="171" t="str">
        <f t="shared" si="141"/>
        <v>SUCCESS</v>
      </c>
      <c r="Z150" s="171" t="str">
        <f t="shared" si="142"/>
        <v>SUCCESS</v>
      </c>
      <c r="AA150" s="185">
        <f t="shared" si="98"/>
        <v>148.62924635639595</v>
      </c>
    </row>
    <row r="151" spans="1:27">
      <c r="A151" s="112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504</v>
      </c>
      <c r="B151" s="113">
        <f t="shared" si="138"/>
        <v>55369</v>
      </c>
      <c r="C151" s="118">
        <f t="shared" si="129"/>
        <v>371.57</v>
      </c>
      <c r="D151" s="181" t="s">
        <v>6</v>
      </c>
      <c r="E151" s="182">
        <f>IF(H150="AFIII",VLOOKUP($D151,Sheet1!$A$34:$K$48,5,FALSE),IF(H150="UBIII",VLOOKUP($D151,Sheet1!$A$34:$K$48,8,FALSE),VLOOKUP($D151,Sheet1!$A$34:$K$48,2,FALSE)))</f>
        <v>2.86</v>
      </c>
      <c r="F151" s="182">
        <f>ROUNDDOWN((IF(H150="AFIII",VLOOKUP($D151,Sheet1!$A$34:$K$48,5,FALSE),IF(H150="UBIII",VLOOKUP($D151,Sheet1!$A$34:$K$48,8,FALSE),VLOOKUP($D151,Sheet1!$A$34:$K$48,2,FALSE))))*0.85,2)</f>
        <v>2.4300000000000002</v>
      </c>
      <c r="G151" s="182">
        <f t="shared" si="137"/>
        <v>2.4300000000000002</v>
      </c>
      <c r="H151" s="183" t="s">
        <v>84</v>
      </c>
      <c r="I151" s="182">
        <f t="shared" si="144"/>
        <v>5.1400000000000006</v>
      </c>
      <c r="K151" s="182">
        <f t="shared" si="143"/>
        <v>12.75</v>
      </c>
      <c r="L151" s="182">
        <f t="shared" si="128"/>
        <v>34.56</v>
      </c>
      <c r="R151" s="182">
        <f t="shared" si="130"/>
        <v>10.280000000000001</v>
      </c>
      <c r="S151" s="183" t="s">
        <v>87</v>
      </c>
      <c r="T151" s="182">
        <f t="shared" si="145"/>
        <v>25.14</v>
      </c>
      <c r="U151" s="184">
        <f t="shared" si="146"/>
        <v>85.139999999999986</v>
      </c>
      <c r="V151" s="201">
        <f>IF(H150="AFIII",VLOOKUP(D151,Sheet1!$A$4:$H$18,5,FALSE),IF(H150="UBIII",VLOOKUP(D151,Sheet1!$A$4:$H$18,8,FALSE),IF(H150="",VLOOKUP(D151,Sheet1!$A$4:$H$18,2,FALSE),"0")))</f>
        <v>1768</v>
      </c>
      <c r="W151" s="201">
        <f t="shared" si="140"/>
        <v>0</v>
      </c>
      <c r="X151" s="208">
        <f t="shared" si="111"/>
        <v>7414</v>
      </c>
      <c r="Y151" s="171" t="str">
        <f t="shared" si="141"/>
        <v>SUCCESS</v>
      </c>
      <c r="Z151" s="171" t="str">
        <f t="shared" si="142"/>
        <v>SUCCESS</v>
      </c>
      <c r="AA151" s="185">
        <f t="shared" si="98"/>
        <v>149.0136448044783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324</v>
      </c>
      <c r="B152" s="113">
        <f t="shared" si="138"/>
        <v>55693</v>
      </c>
      <c r="C152" s="118">
        <f t="shared" si="129"/>
        <v>373.59999999999997</v>
      </c>
      <c r="D152" s="181" t="s">
        <v>1</v>
      </c>
      <c r="E152" s="182">
        <f>IF(H151="AFIII",VLOOKUP($D152,Sheet1!$A$34:$K$48,5,FALSE),IF(H151="UBIII",VLOOKUP($D152,Sheet1!$A$34:$K$48,8,FALSE),VLOOKUP($D152,Sheet1!$A$34:$K$48,2,FALSE)))</f>
        <v>2.39</v>
      </c>
      <c r="F152" s="182">
        <f>ROUNDDOWN((IF(H151="AFIII",VLOOKUP($D152,Sheet1!$A$34:$K$48,5,FALSE),IF(H151="UBIII",VLOOKUP($D152,Sheet1!$A$34:$K$48,8,FALSE),VLOOKUP($D152,Sheet1!$A$34:$K$48,2,FALSE))))*0.85,2)</f>
        <v>2.0299999999999998</v>
      </c>
      <c r="G152" s="182">
        <f t="shared" si="137"/>
        <v>2.0299999999999998</v>
      </c>
      <c r="H152" s="183" t="s">
        <v>84</v>
      </c>
      <c r="I152" s="182">
        <v>10</v>
      </c>
      <c r="K152" s="182">
        <f t="shared" si="143"/>
        <v>10.72</v>
      </c>
      <c r="L152" s="182">
        <f t="shared" si="128"/>
        <v>32.53</v>
      </c>
      <c r="R152" s="182">
        <f t="shared" si="130"/>
        <v>8.2500000000000018</v>
      </c>
      <c r="S152" s="183" t="s">
        <v>87</v>
      </c>
      <c r="T152" s="182">
        <f t="shared" si="145"/>
        <v>23.11</v>
      </c>
      <c r="U152" s="184">
        <f t="shared" si="146"/>
        <v>83.109999999999985</v>
      </c>
      <c r="V152" s="201">
        <f>IF(H151="AFIII",VLOOKUP(D152,Sheet1!$A$4:$H$18,5,FALSE),IF(H151="UBIII",VLOOKUP(D152,Sheet1!$A$4:$H$18,8,FALSE),IF(H151="",VLOOKUP(D152,Sheet1!$A$4:$H$18,2,FALSE),"0")))</f>
        <v>2120</v>
      </c>
      <c r="W152" s="201">
        <f t="shared" si="140"/>
        <v>0</v>
      </c>
      <c r="X152" s="208">
        <f t="shared" si="111"/>
        <v>5294</v>
      </c>
      <c r="Y152" s="171" t="str">
        <f t="shared" si="141"/>
        <v>SUCCESS</v>
      </c>
      <c r="Z152" s="171" t="str">
        <f t="shared" si="142"/>
        <v>SUCCESS</v>
      </c>
      <c r="AA152" s="185">
        <f t="shared" si="98"/>
        <v>149.07119914346896</v>
      </c>
    </row>
    <row r="153" spans="1:27">
      <c r="A153" s="112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504</v>
      </c>
      <c r="B153" s="113">
        <f t="shared" si="138"/>
        <v>56197</v>
      </c>
      <c r="C153" s="118">
        <f t="shared" si="129"/>
        <v>376.03</v>
      </c>
      <c r="D153" s="181" t="s">
        <v>6</v>
      </c>
      <c r="E153" s="182">
        <f>IF(H152="AFIII",VLOOKUP($D153,Sheet1!$A$34:$K$48,5,FALSE),IF(H152="UBIII",VLOOKUP($D153,Sheet1!$A$34:$K$48,8,FALSE),VLOOKUP($D153,Sheet1!$A$34:$K$48,2,FALSE)))</f>
        <v>2.86</v>
      </c>
      <c r="F153" s="182">
        <f>ROUNDDOWN((IF(H152="AFIII",VLOOKUP($D153,Sheet1!$A$34:$K$48,5,FALSE),IF(H152="UBIII",VLOOKUP($D153,Sheet1!$A$34:$K$48,8,FALSE),VLOOKUP($D153,Sheet1!$A$34:$K$48,2,FALSE))))*0.85,2)</f>
        <v>2.4300000000000002</v>
      </c>
      <c r="G153" s="182">
        <f t="shared" si="137"/>
        <v>2.4300000000000002</v>
      </c>
      <c r="H153" s="183" t="s">
        <v>84</v>
      </c>
      <c r="I153" s="182">
        <f t="shared" ref="I153:I154" si="147">I152-G153</f>
        <v>7.57</v>
      </c>
      <c r="K153" s="182">
        <f t="shared" si="143"/>
        <v>8.2900000000000009</v>
      </c>
      <c r="L153" s="182">
        <f t="shared" si="128"/>
        <v>30.1</v>
      </c>
      <c r="R153" s="182">
        <f>R152-G153</f>
        <v>5.8200000000000021</v>
      </c>
      <c r="S153" s="183" t="s">
        <v>87</v>
      </c>
      <c r="T153" s="182">
        <f t="shared" si="145"/>
        <v>20.68</v>
      </c>
      <c r="U153" s="184">
        <f t="shared" si="146"/>
        <v>80.679999999999978</v>
      </c>
      <c r="V153" s="201">
        <f>IF(H152="AFIII",VLOOKUP(D153,Sheet1!$A$4:$H$18,5,FALSE),IF(H152="UBIII",VLOOKUP(D153,Sheet1!$A$4:$H$18,8,FALSE),IF(H152="",VLOOKUP(D153,Sheet1!$A$4:$H$18,2,FALSE),"0")))</f>
        <v>1768</v>
      </c>
      <c r="W153" s="201">
        <f t="shared" si="140"/>
        <v>0</v>
      </c>
      <c r="X153" s="208">
        <f t="shared" si="111"/>
        <v>3526</v>
      </c>
      <c r="Y153" s="171" t="str">
        <f t="shared" si="141"/>
        <v>SUCCESS</v>
      </c>
      <c r="Z153" s="171" t="str">
        <f t="shared" si="142"/>
        <v>SUCCESS</v>
      </c>
      <c r="AA153" s="185">
        <f t="shared" si="98"/>
        <v>149.44818232587826</v>
      </c>
    </row>
    <row r="154" spans="1:27">
      <c r="A154" s="112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504</v>
      </c>
      <c r="B154" s="113">
        <f t="shared" si="138"/>
        <v>56701</v>
      </c>
      <c r="C154" s="118">
        <f t="shared" si="129"/>
        <v>378.46</v>
      </c>
      <c r="D154" s="181" t="s">
        <v>6</v>
      </c>
      <c r="E154" s="182">
        <f>IF(H153="AFIII",VLOOKUP($D154,Sheet1!$A$34:$K$48,5,FALSE),IF(H153="UBIII",VLOOKUP($D154,Sheet1!$A$34:$K$48,8,FALSE),VLOOKUP($D154,Sheet1!$A$34:$K$48,2,FALSE)))</f>
        <v>2.86</v>
      </c>
      <c r="F154" s="182">
        <f>ROUNDDOWN((IF(H153="AFIII",VLOOKUP($D154,Sheet1!$A$34:$K$48,5,FALSE),IF(H153="UBIII",VLOOKUP($D154,Sheet1!$A$34:$K$48,8,FALSE),VLOOKUP($D154,Sheet1!$A$34:$K$48,2,FALSE))))*0.85,2)</f>
        <v>2.4300000000000002</v>
      </c>
      <c r="G154" s="182">
        <f t="shared" si="137"/>
        <v>2.4300000000000002</v>
      </c>
      <c r="H154" s="183" t="s">
        <v>84</v>
      </c>
      <c r="I154" s="182">
        <f t="shared" si="147"/>
        <v>5.1400000000000006</v>
      </c>
      <c r="K154" s="182">
        <f t="shared" si="143"/>
        <v>5.8600000000000012</v>
      </c>
      <c r="L154" s="182">
        <f t="shared" si="128"/>
        <v>27.67</v>
      </c>
      <c r="R154" s="182">
        <f t="shared" ref="R154:R156" si="148">R153-G154</f>
        <v>3.3900000000000019</v>
      </c>
      <c r="S154" s="183" t="s">
        <v>87</v>
      </c>
      <c r="T154" s="182">
        <f t="shared" si="145"/>
        <v>18.25</v>
      </c>
      <c r="U154" s="184">
        <f t="shared" si="146"/>
        <v>78.249999999999972</v>
      </c>
      <c r="V154" s="201">
        <f>IF(H153="AFIII",VLOOKUP(D154,Sheet1!$A$4:$H$18,5,FALSE),IF(H153="UBIII",VLOOKUP(D154,Sheet1!$A$4:$H$18,8,FALSE),IF(H153="",VLOOKUP(D154,Sheet1!$A$4:$H$18,2,FALSE),"0")))</f>
        <v>1768</v>
      </c>
      <c r="W154" s="201">
        <f t="shared" si="140"/>
        <v>0</v>
      </c>
      <c r="X154" s="208">
        <f t="shared" si="111"/>
        <v>1758</v>
      </c>
      <c r="Y154" s="171" t="str">
        <f t="shared" si="141"/>
        <v>SUCCESS</v>
      </c>
      <c r="Z154" s="171" t="str">
        <f t="shared" si="142"/>
        <v>SUCCESS</v>
      </c>
      <c r="AA154" s="185">
        <f t="shared" si="98"/>
        <v>149.82032447286372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168</v>
      </c>
      <c r="B155" s="113">
        <f t="shared" si="138"/>
        <v>56869</v>
      </c>
      <c r="C155" s="118">
        <f t="shared" si="129"/>
        <v>380.48999999999995</v>
      </c>
      <c r="D155" s="181" t="s">
        <v>12</v>
      </c>
      <c r="E155" s="182">
        <f>IF(H154="AFIII",VLOOKUP($D155,Sheet1!$A$34:$K$48,5,FALSE),IF(H154="UBIII",VLOOKUP($D155,Sheet1!$A$34:$K$48,8,FALSE),VLOOKUP($D155,Sheet1!$A$34:$K$48,2,FALSE)))</f>
        <v>1.67</v>
      </c>
      <c r="F155" s="182">
        <f>ROUNDDOWN((IF(H154="AFIII",VLOOKUP($D155,Sheet1!$A$34:$K$48,5,FALSE),IF(H154="UBIII",VLOOKUP($D155,Sheet1!$A$34:$K$48,8,FALSE),VLOOKUP($D155,Sheet1!$A$34:$K$48,2,FALSE))))*0.85,2)</f>
        <v>1.41</v>
      </c>
      <c r="G155" s="182">
        <f t="shared" si="137"/>
        <v>2.0299999999999998</v>
      </c>
      <c r="H155" s="183" t="s">
        <v>122</v>
      </c>
      <c r="I155" s="182">
        <v>10</v>
      </c>
      <c r="K155" s="182">
        <f t="shared" si="143"/>
        <v>3.8300000000000014</v>
      </c>
      <c r="L155" s="182">
        <f t="shared" si="128"/>
        <v>25.64</v>
      </c>
      <c r="P155" s="183" t="s">
        <v>136</v>
      </c>
      <c r="R155" s="182">
        <f t="shared" si="148"/>
        <v>1.3600000000000021</v>
      </c>
      <c r="S155" s="183" t="s">
        <v>87</v>
      </c>
      <c r="T155" s="182">
        <f t="shared" si="145"/>
        <v>16.22</v>
      </c>
      <c r="U155" s="184">
        <f t="shared" si="146"/>
        <v>76.21999999999997</v>
      </c>
      <c r="V155" s="201">
        <f>IF(H154="AFIII",VLOOKUP(D155,Sheet1!$A$4:$H$18,5,FALSE),IF(H154="UBIII",VLOOKUP(D155,Sheet1!$A$4:$H$18,8,FALSE),IF(H154="",VLOOKUP(D155,Sheet1!$A$4:$H$18,2,FALSE),"0")))</f>
        <v>265</v>
      </c>
      <c r="W155" s="201">
        <f t="shared" si="140"/>
        <v>0</v>
      </c>
      <c r="X155" s="208">
        <f t="shared" si="111"/>
        <v>1493</v>
      </c>
      <c r="Y155" s="171" t="str">
        <f t="shared" si="141"/>
        <v>SUCCESS</v>
      </c>
      <c r="Z155" s="171" t="str">
        <f t="shared" si="142"/>
        <v>SUCCESS</v>
      </c>
      <c r="AA155" s="185">
        <f t="shared" ref="AA155:AA162" si="149">B155/C155</f>
        <v>149.4625351520408</v>
      </c>
    </row>
    <row r="156" spans="1:27">
      <c r="A156" s="119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280</v>
      </c>
      <c r="B156" s="120">
        <f t="shared" si="138"/>
        <v>57149</v>
      </c>
      <c r="C156" s="121">
        <f t="shared" si="129"/>
        <v>382.91999999999996</v>
      </c>
      <c r="D156" s="191" t="s">
        <v>14</v>
      </c>
      <c r="E156" s="192">
        <f>IF(H155="AFIII",VLOOKUP($D156,Sheet1!$A$34:$K$48,5,FALSE),IF(H155="UBIII",VLOOKUP($D156,Sheet1!$A$34:$K$48,8,FALSE),VLOOKUP($D156,Sheet1!$A$34:$K$48,2,FALSE)))</f>
        <v>2.86</v>
      </c>
      <c r="F156" s="192">
        <f>ROUNDDOWN((IF(H155="AFIII",VLOOKUP($D156,Sheet1!$A$34:$K$48,5,FALSE),IF(H155="UBIII",VLOOKUP($D156,Sheet1!$A$34:$K$48,8,FALSE),VLOOKUP($D156,Sheet1!$A$34:$K$48,2,FALSE))))*0.85,2)</f>
        <v>2.4300000000000002</v>
      </c>
      <c r="G156" s="192">
        <f t="shared" si="137"/>
        <v>2.4300000000000002</v>
      </c>
      <c r="H156" s="193" t="s">
        <v>122</v>
      </c>
      <c r="I156" s="192">
        <f t="shared" ref="I156" si="150">I155-G156</f>
        <v>7.57</v>
      </c>
      <c r="J156" s="193"/>
      <c r="K156" s="192">
        <v>15</v>
      </c>
      <c r="L156" s="192">
        <f t="shared" si="128"/>
        <v>23.21</v>
      </c>
      <c r="M156" s="193"/>
      <c r="N156" s="192"/>
      <c r="O156" s="192"/>
      <c r="P156" s="193"/>
      <c r="Q156" s="192"/>
      <c r="R156" s="192">
        <f t="shared" si="148"/>
        <v>-1.0699999999999981</v>
      </c>
      <c r="S156" s="193" t="s">
        <v>87</v>
      </c>
      <c r="T156" s="192">
        <f t="shared" si="145"/>
        <v>13.79</v>
      </c>
      <c r="U156" s="194">
        <f t="shared" si="146"/>
        <v>73.789999999999964</v>
      </c>
      <c r="V156" s="211">
        <f>IF(H155="AFIII",VLOOKUP(D156,Sheet1!$A$4:$H$18,5,FALSE),IF(H155="UBIII",VLOOKUP(D156,Sheet1!$A$4:$H$18,8,FALSE),IF(H155="",VLOOKUP(D156,Sheet1!$A$4:$H$18,2,FALSE),"0")))</f>
        <v>884</v>
      </c>
      <c r="W156" s="211">
        <f t="shared" si="140"/>
        <v>7033</v>
      </c>
      <c r="X156" s="212">
        <f t="shared" si="111"/>
        <v>7642</v>
      </c>
      <c r="Y156" s="195" t="str">
        <f t="shared" si="141"/>
        <v>SUCCESS</v>
      </c>
      <c r="Z156" s="195" t="str">
        <f t="shared" si="142"/>
        <v>SUCCESS</v>
      </c>
      <c r="AA156" s="185">
        <f t="shared" si="149"/>
        <v>149.2452731641074</v>
      </c>
    </row>
    <row r="157" spans="1:27">
      <c r="A157" s="112">
        <f>ROUNDDOWN(IF(N156-G157&gt;0,(IF(H156="AFIII",VLOOKUP(D157,Sheet1!$K$4:$S$19,5,FALSE),IF(H156="UBIII",VLOOKUP(D157,Sheet1!$K$4:$S$19,8,FALSE),VLOOKUP(D157,Sheet1!$K$4:$S$19,2,FALSE)))*1.2),IF(H156="AFIII",VLOOKUP(D157,Sheet1!$K$4:$S$19,5,FALSE),IF(H156="UBIII",VLOOKUP(D157,Sheet1!$K$4:$S$19,8,FALSE),VLOOKUP(D157,Sheet1!$K$4:$S$19,2,FALSE)))),0)</f>
        <v>168</v>
      </c>
      <c r="B157" s="113">
        <f t="shared" si="138"/>
        <v>57317</v>
      </c>
      <c r="C157" s="118">
        <f t="shared" si="129"/>
        <v>384.94999999999993</v>
      </c>
      <c r="D157" s="181" t="s">
        <v>4</v>
      </c>
      <c r="E157" s="182">
        <f>IF(H156="AFIII",VLOOKUP($D157,Sheet1!$A$34:$K$48,5,FALSE),IF(H156="UBIII",VLOOKUP($D157,Sheet1!$A$34:$K$48,8,FALSE),VLOOKUP($D157,Sheet1!$A$34:$K$48,2,FALSE)))</f>
        <v>1.67</v>
      </c>
      <c r="F157" s="182">
        <f>ROUNDDOWN((IF(H156="AFIII",VLOOKUP($D157,Sheet1!$A$34:$K$48,5,FALSE),IF(H156="UBIII",VLOOKUP($D157,Sheet1!$A$34:$K$48,8,FALSE),VLOOKUP($D157,Sheet1!$A$34:$K$48,2,FALSE))))*0.85,2)</f>
        <v>1.41</v>
      </c>
      <c r="G157" s="182">
        <f t="shared" si="137"/>
        <v>2.0299999999999998</v>
      </c>
      <c r="H157" s="183" t="s">
        <v>84</v>
      </c>
      <c r="I157" s="182">
        <v>10</v>
      </c>
      <c r="K157" s="182">
        <f t="shared" ref="K157:K164" si="151">K156-G157</f>
        <v>12.97</v>
      </c>
      <c r="L157" s="182">
        <f t="shared" si="128"/>
        <v>21.18</v>
      </c>
      <c r="S157" s="183" t="s">
        <v>87</v>
      </c>
      <c r="T157" s="182">
        <f t="shared" si="145"/>
        <v>11.76</v>
      </c>
      <c r="U157" s="184">
        <f t="shared" si="146"/>
        <v>71.759999999999962</v>
      </c>
      <c r="V157" s="201">
        <f>IF(H156="AFIII",VLOOKUP(D157,Sheet1!$A$4:$H$18,5,FALSE),IF(H156="UBIII",VLOOKUP(D157,Sheet1!$A$4:$H$18,8,FALSE),IF(H156="",VLOOKUP(D157,Sheet1!$A$4:$H$18,2,FALSE),"0")))</f>
        <v>442</v>
      </c>
      <c r="W157" s="201">
        <f t="shared" si="140"/>
        <v>7033</v>
      </c>
      <c r="X157" s="208">
        <f t="shared" si="111"/>
        <v>10950</v>
      </c>
      <c r="Y157" s="171" t="str">
        <f t="shared" si="141"/>
        <v>SUCCESS</v>
      </c>
      <c r="Z157" s="171" t="str">
        <f t="shared" si="142"/>
        <v>SUCCESS</v>
      </c>
      <c r="AA157" s="185">
        <f t="shared" si="149"/>
        <v>148.89466164436942</v>
      </c>
    </row>
    <row r="158" spans="1:27">
      <c r="A158" s="112">
        <f>ROUNDDOWN(IF(N157-G158&gt;0,(IF(H157="AFIII",VLOOKUP(D158,Sheet1!$K$4:$S$19,5,FALSE),IF(H157="UBIII",VLOOKUP(D158,Sheet1!$K$4:$S$19,8,FALSE),VLOOKUP(D158,Sheet1!$K$4:$S$19,2,FALSE)))*1.2),IF(H157="AFIII",VLOOKUP(D158,Sheet1!$K$4:$S$19,5,FALSE),IF(H157="UBIII",VLOOKUP(D158,Sheet1!$K$4:$S$19,8,FALSE),VLOOKUP(D158,Sheet1!$K$4:$S$19,2,FALSE)))),0)</f>
        <v>504</v>
      </c>
      <c r="B158" s="113">
        <f t="shared" si="138"/>
        <v>57821</v>
      </c>
      <c r="C158" s="118">
        <f t="shared" si="129"/>
        <v>387.37999999999994</v>
      </c>
      <c r="D158" s="181" t="s">
        <v>6</v>
      </c>
      <c r="E158" s="182">
        <f>IF(H157="AFIII",VLOOKUP($D158,Sheet1!$A$34:$K$48,5,FALSE),IF(H157="UBIII",VLOOKUP($D158,Sheet1!$A$34:$K$48,8,FALSE),VLOOKUP($D158,Sheet1!$A$34:$K$48,2,FALSE)))</f>
        <v>2.86</v>
      </c>
      <c r="F158" s="182">
        <f>ROUNDDOWN((IF(H157="AFIII",VLOOKUP($D158,Sheet1!$A$34:$K$48,5,FALSE),IF(H157="UBIII",VLOOKUP($D158,Sheet1!$A$34:$K$48,8,FALSE),VLOOKUP($D158,Sheet1!$A$34:$K$48,2,FALSE))))*0.85,2)</f>
        <v>2.4300000000000002</v>
      </c>
      <c r="G158" s="182">
        <f t="shared" si="137"/>
        <v>2.4300000000000002</v>
      </c>
      <c r="H158" s="183" t="s">
        <v>84</v>
      </c>
      <c r="I158" s="182">
        <f t="shared" ref="I158:I159" si="152">I157-G158</f>
        <v>7.57</v>
      </c>
      <c r="K158" s="182">
        <f t="shared" si="151"/>
        <v>10.540000000000001</v>
      </c>
      <c r="L158" s="182">
        <f t="shared" si="128"/>
        <v>18.75</v>
      </c>
      <c r="S158" s="183" t="s">
        <v>87</v>
      </c>
      <c r="T158" s="182">
        <f t="shared" si="145"/>
        <v>9.33</v>
      </c>
      <c r="U158" s="184">
        <f t="shared" si="146"/>
        <v>69.329999999999956</v>
      </c>
      <c r="V158" s="201">
        <f>IF(H157="AFIII",VLOOKUP(D158,Sheet1!$A$4:$H$18,5,FALSE),IF(H157="UBIII",VLOOKUP(D158,Sheet1!$A$4:$H$18,8,FALSE),IF(H157="",VLOOKUP(D158,Sheet1!$A$4:$H$18,2,FALSE),"0")))</f>
        <v>1768</v>
      </c>
      <c r="W158" s="201">
        <f t="shared" si="140"/>
        <v>0</v>
      </c>
      <c r="X158" s="208">
        <f t="shared" si="111"/>
        <v>9182</v>
      </c>
      <c r="Y158" s="171" t="str">
        <f t="shared" si="141"/>
        <v>SUCCESS</v>
      </c>
      <c r="Z158" s="171" t="str">
        <f t="shared" si="142"/>
        <v>SUCCESS</v>
      </c>
      <c r="AA158" s="185">
        <f t="shared" si="149"/>
        <v>149.26170685115392</v>
      </c>
    </row>
    <row r="159" spans="1:27">
      <c r="A159" s="112">
        <f>ROUNDDOWN(IF(N158-G159&gt;0,(IF(H158="AFIII",VLOOKUP(D159,Sheet1!$K$4:$S$19,5,FALSE),IF(H158="UBIII",VLOOKUP(D159,Sheet1!$K$4:$S$19,8,FALSE),VLOOKUP(D159,Sheet1!$K$4:$S$19,2,FALSE)))*1.2),IF(H158="AFIII",VLOOKUP(D159,Sheet1!$K$4:$S$19,5,FALSE),IF(H158="UBIII",VLOOKUP(D159,Sheet1!$K$4:$S$19,8,FALSE),VLOOKUP(D159,Sheet1!$K$4:$S$19,2,FALSE)))),0)</f>
        <v>504</v>
      </c>
      <c r="B159" s="113">
        <f t="shared" si="138"/>
        <v>58325</v>
      </c>
      <c r="C159" s="118">
        <f t="shared" si="129"/>
        <v>389.80999999999995</v>
      </c>
      <c r="D159" s="181" t="s">
        <v>6</v>
      </c>
      <c r="E159" s="182">
        <f>IF(H158="AFIII",VLOOKUP($D159,Sheet1!$A$34:$K$48,5,FALSE),IF(H158="UBIII",VLOOKUP($D159,Sheet1!$A$34:$K$48,8,FALSE),VLOOKUP($D159,Sheet1!$A$34:$K$48,2,FALSE)))</f>
        <v>2.86</v>
      </c>
      <c r="F159" s="182">
        <f>ROUNDDOWN((IF(H158="AFIII",VLOOKUP($D159,Sheet1!$A$34:$K$48,5,FALSE),IF(H158="UBIII",VLOOKUP($D159,Sheet1!$A$34:$K$48,8,FALSE),VLOOKUP($D159,Sheet1!$A$34:$K$48,2,FALSE))))*0.85,2)</f>
        <v>2.4300000000000002</v>
      </c>
      <c r="G159" s="182">
        <f t="shared" si="137"/>
        <v>2.4300000000000002</v>
      </c>
      <c r="H159" s="183" t="s">
        <v>84</v>
      </c>
      <c r="I159" s="182">
        <f t="shared" si="152"/>
        <v>5.1400000000000006</v>
      </c>
      <c r="K159" s="182">
        <f t="shared" si="151"/>
        <v>8.1100000000000012</v>
      </c>
      <c r="L159" s="182">
        <f t="shared" si="128"/>
        <v>16.32</v>
      </c>
      <c r="S159" s="183" t="s">
        <v>87</v>
      </c>
      <c r="T159" s="182">
        <f t="shared" si="145"/>
        <v>6.9</v>
      </c>
      <c r="U159" s="184">
        <f t="shared" si="146"/>
        <v>66.899999999999949</v>
      </c>
      <c r="V159" s="201">
        <f>IF(H158="AFIII",VLOOKUP(D159,Sheet1!$A$4:$H$18,5,FALSE),IF(H158="UBIII",VLOOKUP(D159,Sheet1!$A$4:$H$18,8,FALSE),IF(H158="",VLOOKUP(D159,Sheet1!$A$4:$H$18,2,FALSE),"0")))</f>
        <v>1768</v>
      </c>
      <c r="W159" s="201">
        <f t="shared" si="140"/>
        <v>0</v>
      </c>
      <c r="X159" s="208">
        <f t="shared" si="111"/>
        <v>7414</v>
      </c>
      <c r="Y159" s="171" t="str">
        <f t="shared" si="141"/>
        <v>SUCCESS</v>
      </c>
      <c r="Z159" s="171" t="str">
        <f t="shared" si="142"/>
        <v>SUCCESS</v>
      </c>
      <c r="AA159" s="185">
        <f t="shared" si="149"/>
        <v>149.6241758805572</v>
      </c>
    </row>
    <row r="160" spans="1:27">
      <c r="A160" s="112">
        <f>ROUNDDOWN(IF(N159-G160&gt;0,(IF(H159="AFIII",VLOOKUP(D160,Sheet1!$K$4:$S$19,5,FALSE),IF(H159="UBIII",VLOOKUP(D160,Sheet1!$K$4:$S$19,8,FALSE),VLOOKUP(D160,Sheet1!$K$4:$S$19,2,FALSE)))*1.2),IF(H159="AFIII",VLOOKUP(D160,Sheet1!$K$4:$S$19,5,FALSE),IF(H159="UBIII",VLOOKUP(D160,Sheet1!$K$4:$S$19,8,FALSE),VLOOKUP(D160,Sheet1!$K$4:$S$19,2,FALSE)))),0)</f>
        <v>324</v>
      </c>
      <c r="B160" s="113">
        <f t="shared" si="138"/>
        <v>58649</v>
      </c>
      <c r="C160" s="118">
        <f t="shared" si="129"/>
        <v>391.83999999999992</v>
      </c>
      <c r="D160" s="181" t="s">
        <v>1</v>
      </c>
      <c r="E160" s="182">
        <f>IF(H159="AFIII",VLOOKUP($D160,Sheet1!$A$34:$K$48,5,FALSE),IF(H159="UBIII",VLOOKUP($D160,Sheet1!$A$34:$K$48,8,FALSE),VLOOKUP($D160,Sheet1!$A$34:$K$48,2,FALSE)))</f>
        <v>2.39</v>
      </c>
      <c r="F160" s="182">
        <f>ROUNDDOWN((IF(H159="AFIII",VLOOKUP($D160,Sheet1!$A$34:$K$48,5,FALSE),IF(H159="UBIII",VLOOKUP($D160,Sheet1!$A$34:$K$48,8,FALSE),VLOOKUP($D160,Sheet1!$A$34:$K$48,2,FALSE))))*0.85,2)</f>
        <v>2.0299999999999998</v>
      </c>
      <c r="G160" s="182">
        <f t="shared" si="137"/>
        <v>2.0299999999999998</v>
      </c>
      <c r="H160" s="183" t="s">
        <v>84</v>
      </c>
      <c r="I160" s="182">
        <v>10</v>
      </c>
      <c r="K160" s="182">
        <f t="shared" si="151"/>
        <v>6.0800000000000018</v>
      </c>
      <c r="L160" s="182">
        <f t="shared" si="128"/>
        <v>14.290000000000001</v>
      </c>
      <c r="S160" s="183" t="s">
        <v>87</v>
      </c>
      <c r="T160" s="182">
        <f t="shared" si="145"/>
        <v>4.870000000000001</v>
      </c>
      <c r="U160" s="184">
        <f t="shared" si="146"/>
        <v>64.869999999999948</v>
      </c>
      <c r="V160" s="201">
        <f>IF(H159="AFIII",VLOOKUP(D160,Sheet1!$A$4:$H$18,5,FALSE),IF(H159="UBIII",VLOOKUP(D160,Sheet1!$A$4:$H$18,8,FALSE),IF(H159="",VLOOKUP(D160,Sheet1!$A$4:$H$18,2,FALSE),"0")))</f>
        <v>2120</v>
      </c>
      <c r="W160" s="201">
        <f t="shared" si="140"/>
        <v>0</v>
      </c>
      <c r="X160" s="208">
        <f t="shared" si="111"/>
        <v>5294</v>
      </c>
      <c r="Y160" s="171" t="str">
        <f t="shared" si="141"/>
        <v>SUCCESS</v>
      </c>
      <c r="Z160" s="171" t="str">
        <f t="shared" si="142"/>
        <v>SUCCESS</v>
      </c>
      <c r="AA160" s="185">
        <f t="shared" si="149"/>
        <v>149.67588811759904</v>
      </c>
    </row>
    <row r="161" spans="1:27">
      <c r="A161" s="112">
        <f>ROUNDDOWN(IF(N160-G161&gt;0,(IF(H160="AFIII",VLOOKUP(D161,Sheet1!$K$4:$S$19,5,FALSE),IF(H160="UBIII",VLOOKUP(D161,Sheet1!$K$4:$S$19,8,FALSE),VLOOKUP(D161,Sheet1!$K$4:$S$19,2,FALSE)))*1.2),IF(H160="AFIII",VLOOKUP(D161,Sheet1!$K$4:$S$19,5,FALSE),IF(H160="UBIII",VLOOKUP(D161,Sheet1!$K$4:$S$19,8,FALSE),VLOOKUP(D161,Sheet1!$K$4:$S$19,2,FALSE)))),0)</f>
        <v>504</v>
      </c>
      <c r="B161" s="113">
        <f t="shared" si="138"/>
        <v>59153</v>
      </c>
      <c r="C161" s="118">
        <f t="shared" si="129"/>
        <v>394.26999999999992</v>
      </c>
      <c r="D161" s="181" t="s">
        <v>6</v>
      </c>
      <c r="E161" s="182">
        <f>IF(H160="AFIII",VLOOKUP($D161,Sheet1!$A$34:$K$48,5,FALSE),IF(H160="UBIII",VLOOKUP($D161,Sheet1!$A$34:$K$48,8,FALSE),VLOOKUP($D161,Sheet1!$A$34:$K$48,2,FALSE)))</f>
        <v>2.86</v>
      </c>
      <c r="F161" s="182">
        <f>ROUNDDOWN((IF(H160="AFIII",VLOOKUP($D161,Sheet1!$A$34:$K$48,5,FALSE),IF(H160="UBIII",VLOOKUP($D161,Sheet1!$A$34:$K$48,8,FALSE),VLOOKUP($D161,Sheet1!$A$34:$K$48,2,FALSE))))*0.85,2)</f>
        <v>2.4300000000000002</v>
      </c>
      <c r="G161" s="182">
        <f t="shared" si="137"/>
        <v>2.4300000000000002</v>
      </c>
      <c r="H161" s="183" t="s">
        <v>84</v>
      </c>
      <c r="I161" s="182">
        <f t="shared" ref="I161" si="153">I160-G161</f>
        <v>7.57</v>
      </c>
      <c r="K161" s="182">
        <f t="shared" si="151"/>
        <v>3.6500000000000017</v>
      </c>
      <c r="L161" s="182">
        <f t="shared" si="128"/>
        <v>11.860000000000001</v>
      </c>
      <c r="S161" s="183" t="s">
        <v>87</v>
      </c>
      <c r="T161" s="182">
        <f t="shared" si="145"/>
        <v>2.4400000000000008</v>
      </c>
      <c r="U161" s="184">
        <f t="shared" si="146"/>
        <v>62.439999999999948</v>
      </c>
      <c r="V161" s="201">
        <f>IF(H160="AFIII",VLOOKUP(D161,Sheet1!$A$4:$H$18,5,FALSE),IF(H160="UBIII",VLOOKUP(D161,Sheet1!$A$4:$H$18,8,FALSE),IF(H160="",VLOOKUP(D161,Sheet1!$A$4:$H$18,2,FALSE),"0")))</f>
        <v>1768</v>
      </c>
      <c r="W161" s="201">
        <f t="shared" si="140"/>
        <v>0</v>
      </c>
      <c r="X161" s="208">
        <f t="shared" si="111"/>
        <v>3526</v>
      </c>
      <c r="Y161" s="171" t="str">
        <f t="shared" si="141"/>
        <v>SUCCESS</v>
      </c>
      <c r="Z161" s="171" t="str">
        <f t="shared" si="142"/>
        <v>SUCCESS</v>
      </c>
      <c r="AA161" s="185">
        <f t="shared" si="149"/>
        <v>150.03170416212242</v>
      </c>
    </row>
    <row r="162" spans="1:27">
      <c r="A162" s="112">
        <f>ROUNDDOWN(IF(N161-G162&gt;0,(IF(H161="AFIII",VLOOKUP(D162,Sheet1!$K$4:$S$19,5,FALSE),IF(H161="UBIII",VLOOKUP(D162,Sheet1!$K$4:$S$19,8,FALSE),VLOOKUP(D162,Sheet1!$K$4:$S$19,2,FALSE)))*1.2),IF(H161="AFIII",VLOOKUP(D162,Sheet1!$K$4:$S$19,5,FALSE),IF(H161="UBIII",VLOOKUP(D162,Sheet1!$K$4:$S$19,8,FALSE),VLOOKUP(D162,Sheet1!$K$4:$S$19,2,FALSE)))),0)</f>
        <v>504</v>
      </c>
      <c r="B162" s="113">
        <f t="shared" si="138"/>
        <v>59657</v>
      </c>
      <c r="C162" s="118">
        <f t="shared" si="129"/>
        <v>396.69999999999993</v>
      </c>
      <c r="D162" s="181" t="s">
        <v>6</v>
      </c>
      <c r="E162" s="182">
        <f>IF(H161="AFIII",VLOOKUP($D162,Sheet1!$A$34:$K$48,5,FALSE),IF(H161="UBIII",VLOOKUP($D162,Sheet1!$A$34:$K$48,8,FALSE),VLOOKUP($D162,Sheet1!$A$34:$K$48,2,FALSE)))</f>
        <v>2.86</v>
      </c>
      <c r="F162" s="182">
        <f>ROUNDDOWN((IF(H161="AFIII",VLOOKUP($D162,Sheet1!$A$34:$K$48,5,FALSE),IF(H161="UBIII",VLOOKUP($D162,Sheet1!$A$34:$K$48,8,FALSE),VLOOKUP($D162,Sheet1!$A$34:$K$48,2,FALSE))))*0.85,2)</f>
        <v>2.4300000000000002</v>
      </c>
      <c r="G162" s="182">
        <f t="shared" si="137"/>
        <v>2.4300000000000002</v>
      </c>
      <c r="H162" s="183" t="s">
        <v>84</v>
      </c>
      <c r="I162" s="182">
        <v>10</v>
      </c>
      <c r="K162" s="182">
        <f t="shared" si="151"/>
        <v>1.2200000000000015</v>
      </c>
      <c r="L162" s="182">
        <f t="shared" si="128"/>
        <v>9.4300000000000015</v>
      </c>
      <c r="T162" s="182">
        <f t="shared" si="145"/>
        <v>1.0000000000000675E-2</v>
      </c>
      <c r="U162" s="184">
        <f t="shared" si="146"/>
        <v>60.009999999999948</v>
      </c>
      <c r="V162" s="201">
        <f>IF(H161="AFIII",VLOOKUP(D162,Sheet1!$A$4:$H$18,5,FALSE),IF(H161="UBIII",VLOOKUP(D162,Sheet1!$A$4:$H$18,8,FALSE),IF(H161="",VLOOKUP(D162,Sheet1!$A$4:$H$18,2,FALSE),"0")))</f>
        <v>1768</v>
      </c>
      <c r="W162" s="201">
        <f t="shared" si="140"/>
        <v>0</v>
      </c>
      <c r="X162" s="208">
        <f t="shared" si="111"/>
        <v>1758</v>
      </c>
      <c r="Y162" s="171" t="str">
        <f t="shared" si="141"/>
        <v>SUCCESS</v>
      </c>
      <c r="Z162" s="171" t="str">
        <f t="shared" si="142"/>
        <v>SUCCESS</v>
      </c>
      <c r="AA162" s="185">
        <f t="shared" si="149"/>
        <v>150.38316107890097</v>
      </c>
    </row>
    <row r="163" spans="1:27">
      <c r="A163" s="112">
        <f>ROUNDDOWN(IF(N162-G163&gt;0,(IF(H162="AFIII",VLOOKUP(D163,Sheet1!$K$4:$S$19,5,FALSE),IF(H162="UBIII",VLOOKUP(D163,Sheet1!$K$4:$S$19,8,FALSE),VLOOKUP(D163,Sheet1!$K$4:$S$19,2,FALSE)))*1.2),IF(H162="AFIII",VLOOKUP(D163,Sheet1!$K$4:$S$19,5,FALSE),IF(H162="UBIII",VLOOKUP(D163,Sheet1!$K$4:$S$19,8,FALSE),VLOOKUP(D163,Sheet1!$K$4:$S$19,2,FALSE)))),0)</f>
        <v>432</v>
      </c>
      <c r="B163" s="113">
        <f t="shared" si="138"/>
        <v>60089</v>
      </c>
      <c r="C163" s="118">
        <f t="shared" si="129"/>
        <v>399.08999999999992</v>
      </c>
      <c r="D163" s="181" t="s">
        <v>129</v>
      </c>
      <c r="E163" s="182">
        <f>IF(H162="AFIII",VLOOKUP($D163,Sheet1!$A$34:$K$48,5,FALSE),IF(H162="UBIII",VLOOKUP($D163,Sheet1!$A$34:$K$48,8,FALSE),VLOOKUP($D163,Sheet1!$A$34:$K$48,2,FALSE)))</f>
        <v>2.39</v>
      </c>
      <c r="F163" s="182">
        <f>ROUNDDOWN((IF(H162="AFIII",VLOOKUP($D163,Sheet1!$A$34:$K$48,5,FALSE),IF(H162="UBIII",VLOOKUP($D163,Sheet1!$A$34:$K$48,8,FALSE),VLOOKUP($D163,Sheet1!$A$34:$K$48,2,FALSE))))*0.85,2)</f>
        <v>2.0299999999999998</v>
      </c>
      <c r="G163" s="182">
        <f t="shared" si="137"/>
        <v>2.39</v>
      </c>
      <c r="H163" s="183" t="s">
        <v>84</v>
      </c>
      <c r="I163" s="182">
        <v>10</v>
      </c>
      <c r="K163" s="182">
        <f t="shared" si="151"/>
        <v>-1.1699999999999986</v>
      </c>
      <c r="L163" s="182">
        <f t="shared" si="128"/>
        <v>7.0400000000000009</v>
      </c>
      <c r="U163" s="184">
        <f t="shared" si="146"/>
        <v>57.619999999999948</v>
      </c>
      <c r="V163" s="201">
        <f>IF(H162="AFIII",VLOOKUP(D163,Sheet1!$A$4:$H$18,5,FALSE),IF(H162="UBIII",VLOOKUP(D163,Sheet1!$A$4:$H$18,8,FALSE),IF(H162="",VLOOKUP(D163,Sheet1!$A$4:$H$18,2,FALSE),"0")))</f>
        <v>0</v>
      </c>
      <c r="W163" s="201">
        <f t="shared" si="140"/>
        <v>0</v>
      </c>
      <c r="X163" s="208">
        <f t="shared" si="111"/>
        <v>1758</v>
      </c>
      <c r="Y163" s="171" t="str">
        <f t="shared" si="141"/>
        <v>SUCCESS</v>
      </c>
      <c r="Z163" s="171" t="str">
        <f t="shared" si="142"/>
        <v>ERROR</v>
      </c>
      <c r="AA163" s="185">
        <f>B163/C163</f>
        <v>150.56503545566167</v>
      </c>
    </row>
    <row r="164" spans="1:27">
      <c r="A164" s="112">
        <f>ROUNDDOWN(IF(N163-G164&gt;0,(IF(H163="AFIII",VLOOKUP(D164,Sheet1!$K$4:$S$19,5,FALSE),IF(H163="UBIII",VLOOKUP(D164,Sheet1!$K$4:$S$19,8,FALSE),VLOOKUP(D164,Sheet1!$K$4:$S$19,2,FALSE)))*1.2),IF(H163="AFIII",VLOOKUP(D164,Sheet1!$K$4:$S$19,5,FALSE),IF(H163="UBIII",VLOOKUP(D164,Sheet1!$K$4:$S$19,8,FALSE),VLOOKUP(D164,Sheet1!$K$4:$S$19,2,FALSE)))),0)</f>
        <v>168</v>
      </c>
      <c r="B164" s="113">
        <f t="shared" si="138"/>
        <v>60257</v>
      </c>
      <c r="C164" s="118">
        <f t="shared" si="129"/>
        <v>401.4799999999999</v>
      </c>
      <c r="D164" s="181" t="s">
        <v>12</v>
      </c>
      <c r="E164" s="182">
        <f>IF(H163="AFIII",VLOOKUP($D164,Sheet1!$A$34:$K$48,5,FALSE),IF(H163="UBIII",VLOOKUP($D164,Sheet1!$A$34:$K$48,8,FALSE),VLOOKUP($D164,Sheet1!$A$34:$K$48,2,FALSE)))</f>
        <v>1.67</v>
      </c>
      <c r="F164" s="182">
        <f>ROUNDDOWN((IF(H163="AFIII",VLOOKUP($D164,Sheet1!$A$34:$K$48,5,FALSE),IF(H163="UBIII",VLOOKUP($D164,Sheet1!$A$34:$K$48,8,FALSE),VLOOKUP($D164,Sheet1!$A$34:$K$48,2,FALSE))))*0.85,2)</f>
        <v>1.41</v>
      </c>
      <c r="G164" s="182">
        <f t="shared" si="137"/>
        <v>2.39</v>
      </c>
      <c r="H164" s="183" t="s">
        <v>122</v>
      </c>
      <c r="I164" s="182">
        <v>10</v>
      </c>
      <c r="K164" s="182">
        <f t="shared" si="151"/>
        <v>-3.5599999999999987</v>
      </c>
      <c r="L164" s="182">
        <f t="shared" si="128"/>
        <v>4.6500000000000004</v>
      </c>
      <c r="U164" s="184">
        <f t="shared" si="146"/>
        <v>55.229999999999947</v>
      </c>
      <c r="V164" s="201">
        <f>IF(H163="AFIII",VLOOKUP(D164,Sheet1!$A$4:$H$18,5,FALSE),IF(H163="UBIII",VLOOKUP(D164,Sheet1!$A$4:$H$18,8,FALSE),IF(H163="",VLOOKUP(D164,Sheet1!$A$4:$H$18,2,FALSE),"0")))</f>
        <v>265</v>
      </c>
      <c r="W164" s="201">
        <f t="shared" si="140"/>
        <v>0</v>
      </c>
      <c r="X164" s="208">
        <f t="shared" si="111"/>
        <v>1493</v>
      </c>
      <c r="Y164" s="171" t="str">
        <f t="shared" si="141"/>
        <v>SUCCESS</v>
      </c>
      <c r="Z164" s="171" t="str">
        <f t="shared" si="142"/>
        <v>ERROR</v>
      </c>
      <c r="AA164" s="185">
        <f t="shared" ref="AA164:AA165" si="154">B164/C164</f>
        <v>150.08717744345924</v>
      </c>
    </row>
    <row r="165" spans="1:27" ht="12.75" thickBot="1">
      <c r="A165" s="116">
        <f>ROUNDDOWN(IF(N164-G165&gt;0,(IF(H164="AFIII",VLOOKUP(D165,Sheet1!$K$4:$S$19,5,FALSE),IF(H164="UBIII",VLOOKUP(D165,Sheet1!$K$4:$S$19,8,FALSE),VLOOKUP(D165,Sheet1!$K$4:$S$19,2,FALSE)))*1.2),IF(H164="AFIII",VLOOKUP(D165,Sheet1!$K$4:$S$19,5,FALSE),IF(H164="UBIII",VLOOKUP(D165,Sheet1!$K$4:$S$19,8,FALSE),VLOOKUP(D165,Sheet1!$K$4:$S$19,2,FALSE)))),0)</f>
        <v>295</v>
      </c>
      <c r="B165" s="117">
        <f t="shared" si="138"/>
        <v>60552</v>
      </c>
      <c r="C165" s="125">
        <f t="shared" si="129"/>
        <v>404.33999999999992</v>
      </c>
      <c r="D165" s="196" t="s">
        <v>19</v>
      </c>
      <c r="E165" s="197">
        <f>IF(H164="AFIII",VLOOKUP($D165,Sheet1!$A$34:$K$48,5,FALSE),IF(H164="UBIII",VLOOKUP($D165,Sheet1!$A$34:$K$48,8,FALSE),VLOOKUP($D165,Sheet1!$A$34:$K$48,2,FALSE)))</f>
        <v>2.86</v>
      </c>
      <c r="F165" s="197">
        <f>ROUNDDOWN((IF(H164="AFIII",VLOOKUP($D165,Sheet1!$A$34:$K$48,5,FALSE),IF(H164="UBIII",VLOOKUP($D165,Sheet1!$A$34:$K$48,8,FALSE),VLOOKUP($D165,Sheet1!$A$34:$K$48,2,FALSE))))*0.85,2)</f>
        <v>2.4300000000000002</v>
      </c>
      <c r="G165" s="197">
        <f t="shared" si="137"/>
        <v>2.86</v>
      </c>
      <c r="H165" s="198" t="s">
        <v>122</v>
      </c>
      <c r="I165" s="197">
        <f>I164-G165</f>
        <v>7.1400000000000006</v>
      </c>
      <c r="J165" s="198"/>
      <c r="K165" s="197"/>
      <c r="L165" s="197">
        <f t="shared" si="128"/>
        <v>1.7900000000000005</v>
      </c>
      <c r="M165" s="198"/>
      <c r="N165" s="197"/>
      <c r="O165" s="197"/>
      <c r="P165" s="198" t="s">
        <v>17</v>
      </c>
      <c r="Q165" s="197">
        <v>21</v>
      </c>
      <c r="R165" s="197"/>
      <c r="S165" s="198"/>
      <c r="T165" s="197"/>
      <c r="U165" s="199">
        <f t="shared" si="146"/>
        <v>52.369999999999948</v>
      </c>
      <c r="V165" s="206">
        <f>IF(H164="AFIII",VLOOKUP(D165,Sheet1!$A$4:$H$18,5,FALSE),IF(H164="UBIII",VLOOKUP(D165,Sheet1!$A$4:$H$18,8,FALSE),IF(H164="",VLOOKUP(D165,Sheet1!$A$4:$H$18,2,FALSE),"0")))</f>
        <v>1060</v>
      </c>
      <c r="W165" s="206">
        <f t="shared" si="140"/>
        <v>7033</v>
      </c>
      <c r="X165" s="207">
        <f t="shared" ref="X165" si="155">IF(D165="フレア",IF(M165="コンバート",$X$1,0),IF(X164-V165+W165&gt;$X$3,$X$3-V165,X164-V165+W165))</f>
        <v>7466</v>
      </c>
      <c r="Y165" s="180" t="str">
        <f t="shared" si="141"/>
        <v>SUCCESS</v>
      </c>
      <c r="Z165" s="180" t="str">
        <f t="shared" si="142"/>
        <v>ERROR</v>
      </c>
      <c r="AA165" s="185">
        <f t="shared" si="154"/>
        <v>149.75515655141714</v>
      </c>
    </row>
    <row r="166" spans="1:27" ht="12.75" thickTop="1">
      <c r="D166" s="58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X166" s="216"/>
    </row>
    <row r="167" spans="1:27">
      <c r="D167" s="58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X167" s="216"/>
    </row>
    <row r="168" spans="1:27">
      <c r="D168" s="58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X168" s="216"/>
    </row>
    <row r="169" spans="1:27">
      <c r="D169" s="58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X169" s="216"/>
    </row>
    <row r="170" spans="1:27">
      <c r="D170" s="58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X170" s="216"/>
    </row>
    <row r="171" spans="1:27">
      <c r="D171" s="58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X171" s="216"/>
    </row>
    <row r="172" spans="1:27">
      <c r="D172" s="58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X172" s="216"/>
    </row>
    <row r="173" spans="1:27">
      <c r="D173" s="58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X173" s="216"/>
    </row>
    <row r="174" spans="1:27">
      <c r="D174" s="58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X174" s="216"/>
    </row>
    <row r="175" spans="1:27">
      <c r="D175" s="58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X175" s="216"/>
    </row>
    <row r="176" spans="1:27">
      <c r="D176" s="58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X176" s="216"/>
    </row>
    <row r="177" spans="4:24">
      <c r="D177" s="58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X177" s="216"/>
    </row>
    <row r="178" spans="4:24">
      <c r="D178" s="58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X178" s="216"/>
    </row>
    <row r="179" spans="4:24">
      <c r="D179" s="58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X179" s="216"/>
    </row>
    <row r="180" spans="4:24">
      <c r="D180" s="58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X180" s="216"/>
    </row>
    <row r="181" spans="4:24">
      <c r="D181" s="58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X181" s="216"/>
    </row>
    <row r="182" spans="4:24">
      <c r="D182" s="58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X182" s="216"/>
    </row>
    <row r="183" spans="4:24">
      <c r="D183" s="5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X183" s="216"/>
    </row>
    <row r="184" spans="4:24">
      <c r="D184" s="5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X184" s="216"/>
    </row>
    <row r="185" spans="4:24">
      <c r="D185" s="5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X185" s="216"/>
    </row>
    <row r="186" spans="4:24">
      <c r="D186" s="5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X186" s="216"/>
    </row>
    <row r="187" spans="4:24">
      <c r="D187" s="58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X187" s="216"/>
    </row>
    <row r="188" spans="4:24">
      <c r="D188" s="58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X188" s="216"/>
    </row>
    <row r="189" spans="4:24">
      <c r="D189" s="58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X189" s="216"/>
    </row>
    <row r="190" spans="4:24">
      <c r="D190" s="58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X190" s="216"/>
    </row>
    <row r="191" spans="4:24">
      <c r="D191" s="58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X191" s="216"/>
    </row>
    <row r="192" spans="4:24">
      <c r="D192" s="58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X192" s="216"/>
    </row>
    <row r="193" spans="4:24">
      <c r="D193" s="58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X193" s="216"/>
    </row>
    <row r="194" spans="4:24">
      <c r="D194" s="58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X194" s="216"/>
    </row>
    <row r="195" spans="4:24">
      <c r="D195" s="58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X195" s="216"/>
    </row>
    <row r="196" spans="4:24">
      <c r="D196" s="58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X196" s="216"/>
    </row>
    <row r="197" spans="4:24">
      <c r="D197" s="58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X197" s="216"/>
    </row>
    <row r="198" spans="4:24">
      <c r="D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X198" s="216"/>
    </row>
    <row r="199" spans="4:24">
      <c r="D199" s="5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X199" s="216"/>
    </row>
    <row r="200" spans="4:24">
      <c r="D200" s="5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X200" s="216"/>
    </row>
    <row r="201" spans="4:24">
      <c r="D201" s="5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X201" s="216"/>
    </row>
    <row r="202" spans="4:24">
      <c r="D202" s="58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X202" s="216"/>
    </row>
    <row r="203" spans="4:24">
      <c r="D203" s="58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X203" s="216"/>
    </row>
    <row r="204" spans="4:24">
      <c r="D204" s="58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X204" s="216"/>
    </row>
    <row r="205" spans="4:24">
      <c r="D205" s="58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X205" s="216"/>
    </row>
    <row r="206" spans="4:24">
      <c r="D206" s="58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X206" s="216"/>
    </row>
    <row r="207" spans="4:24">
      <c r="D207" s="58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X207" s="216"/>
    </row>
    <row r="208" spans="4:24">
      <c r="D208" s="58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X208" s="216"/>
    </row>
    <row r="209" spans="4:24">
      <c r="D209" s="58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X209" s="216"/>
    </row>
    <row r="210" spans="4:24">
      <c r="D210" s="58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X210" s="216"/>
    </row>
    <row r="211" spans="4:24">
      <c r="D211" s="58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X211" s="216"/>
    </row>
    <row r="212" spans="4:24">
      <c r="D212" s="58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X212" s="216"/>
    </row>
    <row r="213" spans="4:24">
      <c r="D213" s="58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X213" s="216"/>
    </row>
    <row r="214" spans="4:24">
      <c r="D214" s="58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X214" s="216"/>
    </row>
    <row r="215" spans="4:24">
      <c r="D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X215" s="216"/>
    </row>
    <row r="216" spans="4:24">
      <c r="D216" s="58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X216" s="216"/>
    </row>
    <row r="217" spans="4:24">
      <c r="D217" s="58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X217" s="216"/>
    </row>
    <row r="218" spans="4:24">
      <c r="D218" s="58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X218" s="216"/>
    </row>
    <row r="219" spans="4:24">
      <c r="D219" s="58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X219" s="216"/>
    </row>
    <row r="220" spans="4:24">
      <c r="D220" s="58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X220" s="216"/>
    </row>
    <row r="221" spans="4:24">
      <c r="D221" s="58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X221" s="216"/>
    </row>
    <row r="222" spans="4:24">
      <c r="D222" s="58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X222" s="216"/>
    </row>
    <row r="223" spans="4:24">
      <c r="D223" s="58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X223" s="216"/>
    </row>
    <row r="224" spans="4:24">
      <c r="D224" s="58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X224" s="216"/>
    </row>
    <row r="225" spans="4:24">
      <c r="D225" s="58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X225" s="216"/>
    </row>
    <row r="226" spans="4:24">
      <c r="D226" s="58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X226" s="216"/>
    </row>
    <row r="227" spans="4:24">
      <c r="D227" s="58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X227" s="216"/>
    </row>
    <row r="228" spans="4:24">
      <c r="D228" s="58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X228" s="216"/>
    </row>
    <row r="229" spans="4:24">
      <c r="D229" s="58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X229" s="216"/>
    </row>
    <row r="230" spans="4:24">
      <c r="D230" s="58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X230" s="216"/>
    </row>
    <row r="231" spans="4:24">
      <c r="D231" s="58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X231" s="216"/>
    </row>
    <row r="232" spans="4:24">
      <c r="D232" s="58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X232" s="216"/>
    </row>
    <row r="233" spans="4:24">
      <c r="D233" s="58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X233" s="216"/>
    </row>
    <row r="234" spans="4:24">
      <c r="D234" s="58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X234" s="216"/>
    </row>
    <row r="235" spans="4:24">
      <c r="D235" s="58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X235" s="216"/>
    </row>
    <row r="236" spans="4:24">
      <c r="D236" s="58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X236" s="216"/>
    </row>
    <row r="237" spans="4:24">
      <c r="D237" s="58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X237" s="216"/>
    </row>
    <row r="238" spans="4:24">
      <c r="D238" s="58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X238" s="216"/>
    </row>
    <row r="239" spans="4:24">
      <c r="D239" s="58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X239" s="216"/>
    </row>
  </sheetData>
  <mergeCells count="6">
    <mergeCell ref="V2:W2"/>
    <mergeCell ref="K1:L1"/>
    <mergeCell ref="N1:O1"/>
    <mergeCell ref="Q1:R1"/>
    <mergeCell ref="D2:G2"/>
    <mergeCell ref="H2:U2"/>
  </mergeCells>
  <phoneticPr fontId="1"/>
  <conditionalFormatting sqref="P1 H1:J26 D98:W1048576 K2:P26 S1:W97 X3:X161 Q2:R97 D19:X91 H27:P107 Q92:X165 D100:X165 D1:G165">
    <cfRule type="expression" dxfId="20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9"/>
  <sheetViews>
    <sheetView topLeftCell="A19" zoomScaleNormal="100" workbookViewId="0">
      <selection activeCell="L45" sqref="L45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254</v>
      </c>
      <c r="I1" s="230" t="s">
        <v>115</v>
      </c>
      <c r="J1" s="101">
        <f>3</f>
        <v>3</v>
      </c>
      <c r="K1" s="307" t="s">
        <v>144</v>
      </c>
      <c r="L1" s="307"/>
      <c r="M1" s="101">
        <v>0</v>
      </c>
      <c r="N1" s="307" t="s">
        <v>145</v>
      </c>
      <c r="O1" s="307"/>
      <c r="P1" s="102">
        <f>H1+J1+M1</f>
        <v>257</v>
      </c>
      <c r="Q1" s="307" t="s">
        <v>116</v>
      </c>
      <c r="R1" s="307"/>
      <c r="S1" s="101">
        <v>12.5</v>
      </c>
      <c r="T1" s="230" t="s">
        <v>117</v>
      </c>
      <c r="U1" s="104">
        <f>Sheet1!B27</f>
        <v>884</v>
      </c>
      <c r="V1" s="217" t="s">
        <v>118</v>
      </c>
      <c r="W1" s="202">
        <v>242</v>
      </c>
      <c r="X1" s="203">
        <f>ROUNDDOWN(X3*0.3,0)</f>
        <v>3417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232" t="s">
        <v>107</v>
      </c>
      <c r="E3" s="173" t="s">
        <v>108</v>
      </c>
      <c r="F3" s="173" t="s">
        <v>120</v>
      </c>
      <c r="G3" s="173" t="s">
        <v>215</v>
      </c>
      <c r="H3" s="233" t="s">
        <v>107</v>
      </c>
      <c r="I3" s="173" t="s">
        <v>108</v>
      </c>
      <c r="J3" s="233" t="s">
        <v>107</v>
      </c>
      <c r="K3" s="173" t="s">
        <v>108</v>
      </c>
      <c r="L3" s="173" t="s">
        <v>119</v>
      </c>
      <c r="M3" s="233" t="s">
        <v>107</v>
      </c>
      <c r="N3" s="173" t="s">
        <v>108</v>
      </c>
      <c r="O3" s="173" t="s">
        <v>119</v>
      </c>
      <c r="P3" s="233" t="s">
        <v>107</v>
      </c>
      <c r="Q3" s="173" t="s">
        <v>108</v>
      </c>
      <c r="R3" s="173" t="s">
        <v>119</v>
      </c>
      <c r="S3" s="233" t="s">
        <v>107</v>
      </c>
      <c r="T3" s="173" t="s">
        <v>108</v>
      </c>
      <c r="U3" s="175" t="s">
        <v>119</v>
      </c>
      <c r="V3" s="231" t="s">
        <v>110</v>
      </c>
      <c r="W3" s="231" t="s">
        <v>111</v>
      </c>
      <c r="X3" s="205">
        <f>U1*S1+ROUNDDOWN(((P1-W1)/W1/2*U1*S1),0)</f>
        <v>11392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178"/>
      <c r="T4" s="177"/>
      <c r="U4" s="179"/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11392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>B4+A5</f>
        <v>240</v>
      </c>
      <c r="C5" s="118">
        <f t="shared" ref="C5:C16" si="0">C4+G5</f>
        <v>3.34</v>
      </c>
      <c r="D5" s="181" t="s">
        <v>4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3.34</v>
      </c>
      <c r="H5" s="183" t="s">
        <v>84</v>
      </c>
      <c r="I5" s="182">
        <v>10</v>
      </c>
      <c r="V5" s="201">
        <f>IF(H4="AFIII",VLOOKUP(D5,Sheet1!$A$4:$H$18,5,FALSE),IF(H4="UBIII",VLOOKUP(D5,Sheet1!$A$4:$H$18,8,FALSE),IF(H4="",VLOOKUP(D5,Sheet1!$A$4:$H$18,2,FALSE),"0")))</f>
        <v>1768</v>
      </c>
      <c r="W5" s="201">
        <f>IF(H4="UBIII",$X$2,0)</f>
        <v>0</v>
      </c>
      <c r="X5" s="208">
        <f>IF(D5="フレア",IF(M5="コンバート",$X$1,0),IF(X4-V5+W5&gt;$X$3,$X$3-V5,X4-V5+W5))</f>
        <v>9624</v>
      </c>
      <c r="Y5" s="171" t="str">
        <f t="shared" ref="Y5:Y16" si="1">IF(X4-V5&lt;0,"ERROR","SUCCESS")</f>
        <v>SUCCESS</v>
      </c>
      <c r="Z5" s="171" t="str">
        <f t="shared" ref="Z5:Z16" si="2">IF(K4-G5&lt;0,"ERROR","SUCCESS")</f>
        <v>ERROR</v>
      </c>
      <c r="AA5" s="185">
        <f>B5/C5</f>
        <v>71.856287425149702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324</v>
      </c>
      <c r="B6" s="113">
        <f t="shared" ref="B6:B16" si="3">B5+A6</f>
        <v>564</v>
      </c>
      <c r="C6" s="118">
        <f t="shared" si="0"/>
        <v>5.73</v>
      </c>
      <c r="D6" s="181" t="s">
        <v>1</v>
      </c>
      <c r="E6" s="182">
        <f>IF(H5="AFIII",VLOOKUP($D6,Sheet1!$A$34:$K$48,5,FALSE),IF(H5="UBIII",VLOOKUP($D6,Sheet1!$A$34:$K$48,8,FALSE),VLOOKUP($D6,Sheet1!$A$34:$K$48,2,FALSE)))</f>
        <v>2.39</v>
      </c>
      <c r="F6" s="182">
        <f>ROUNDDOWN((IF(H5="AFIII",VLOOKUP($D6,Sheet1!$A$34:$K$48,5,FALSE),IF(H5="UBIII",VLOOKUP($D6,Sheet1!$A$34:$K$48,8,FALSE),VLOOKUP($D6,Sheet1!$A$34:$K$48,2,FALSE))))*0.85,2)</f>
        <v>2.0299999999999998</v>
      </c>
      <c r="G6" s="182">
        <f t="shared" ref="G6:G16" si="4">IF(M5="迅速",IF(S5="黒魔紋",$F$1,$E$1),IF(S5="黒魔紋",IF(F6&lt;$F$1,$F$1,F6),IF(E6&lt;$E$1,$E$1,E6)))</f>
        <v>2.39</v>
      </c>
      <c r="H6" s="183" t="s">
        <v>84</v>
      </c>
      <c r="I6" s="182">
        <v>10</v>
      </c>
      <c r="V6" s="201">
        <f>IF(H5="AFIII",VLOOKUP(D6,Sheet1!$A$4:$H$18,5,FALSE),IF(H5="UBIII",VLOOKUP(D6,Sheet1!$A$4:$H$18,8,FALSE),IF(H5="",VLOOKUP(D6,Sheet1!$A$4:$H$18,2,FALSE),"0")))</f>
        <v>2120</v>
      </c>
      <c r="W6" s="201">
        <f t="shared" ref="W6:W16" si="5">IF(H5="UBIII",$X$2,0)</f>
        <v>0</v>
      </c>
      <c r="X6" s="208">
        <f t="shared" ref="X6:X16" si="6">IF(M6="コンバート",(IF(D6="フレア",0,IF(X5-V6+W6&gt;$X$3,$X$3-V6,X5-V6+W6)))+$X$1,IF(D6="フレア",0,IF(X5-V6+W6&gt;$X$3,$X$3-V6,X5-V6+W6)))</f>
        <v>7504</v>
      </c>
      <c r="Y6" s="171" t="str">
        <f t="shared" si="1"/>
        <v>SUCCESS</v>
      </c>
      <c r="Z6" s="171" t="str">
        <f t="shared" si="2"/>
        <v>ERROR</v>
      </c>
      <c r="AA6" s="185">
        <f t="shared" ref="AA6:AA16" si="7">B6/C6</f>
        <v>98.429319371727743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324</v>
      </c>
      <c r="B7" s="113">
        <f t="shared" si="3"/>
        <v>888</v>
      </c>
      <c r="C7" s="118">
        <f t="shared" si="0"/>
        <v>8.120000000000001</v>
      </c>
      <c r="D7" s="181" t="s">
        <v>1</v>
      </c>
      <c r="E7" s="182">
        <f>IF(H6="AFIII",VLOOKUP($D7,Sheet1!$A$34:$K$48,5,FALSE),IF(H6="UBIII",VLOOKUP($D7,Sheet1!$A$34:$K$48,8,FALSE),VLOOKUP($D7,Sheet1!$A$34:$K$48,2,FALSE)))</f>
        <v>2.39</v>
      </c>
      <c r="F7" s="182">
        <f>ROUNDDOWN((IF(H6="AFIII",VLOOKUP($D7,Sheet1!$A$34:$K$48,5,FALSE),IF(H6="UBIII",VLOOKUP($D7,Sheet1!$A$34:$K$48,8,FALSE),VLOOKUP($D7,Sheet1!$A$34:$K$48,2,FALSE))))*0.85,2)</f>
        <v>2.0299999999999998</v>
      </c>
      <c r="G7" s="182">
        <f t="shared" si="4"/>
        <v>2.39</v>
      </c>
      <c r="H7" s="183" t="s">
        <v>84</v>
      </c>
      <c r="I7" s="182">
        <v>10</v>
      </c>
      <c r="V7" s="201">
        <f>IF(H6="AFIII",VLOOKUP(D7,Sheet1!$A$4:$H$18,5,FALSE),IF(H6="UBIII",VLOOKUP(D7,Sheet1!$A$4:$H$18,8,FALSE),IF(H6="",VLOOKUP(D7,Sheet1!$A$4:$H$18,2,FALSE),"0")))</f>
        <v>2120</v>
      </c>
      <c r="W7" s="201">
        <f t="shared" si="5"/>
        <v>0</v>
      </c>
      <c r="X7" s="208">
        <f t="shared" si="6"/>
        <v>5384</v>
      </c>
      <c r="Y7" s="171" t="str">
        <f t="shared" si="1"/>
        <v>SUCCESS</v>
      </c>
      <c r="Z7" s="171" t="str">
        <f t="shared" si="2"/>
        <v>ERROR</v>
      </c>
      <c r="AA7" s="185">
        <f t="shared" si="7"/>
        <v>109.35960591133004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324</v>
      </c>
      <c r="B8" s="113">
        <f t="shared" si="3"/>
        <v>1212</v>
      </c>
      <c r="C8" s="118">
        <f t="shared" si="0"/>
        <v>10.510000000000002</v>
      </c>
      <c r="D8" s="181" t="s">
        <v>1</v>
      </c>
      <c r="E8" s="182">
        <f>IF(H7="AFIII",VLOOKUP($D8,Sheet1!$A$34:$K$48,5,FALSE),IF(H7="UBIII",VLOOKUP($D8,Sheet1!$A$34:$K$48,8,FALSE),VLOOKUP($D8,Sheet1!$A$34:$K$48,2,FALSE)))</f>
        <v>2.39</v>
      </c>
      <c r="F8" s="182">
        <f>ROUNDDOWN((IF(H7="AFIII",VLOOKUP($D8,Sheet1!$A$34:$K$48,5,FALSE),IF(H7="UBIII",VLOOKUP($D8,Sheet1!$A$34:$K$48,8,FALSE),VLOOKUP($D8,Sheet1!$A$34:$K$48,2,FALSE))))*0.85,2)</f>
        <v>2.0299999999999998</v>
      </c>
      <c r="G8" s="182">
        <f t="shared" si="4"/>
        <v>2.39</v>
      </c>
      <c r="H8" s="183" t="s">
        <v>84</v>
      </c>
      <c r="I8" s="182">
        <v>10</v>
      </c>
      <c r="V8" s="201">
        <f>IF(H7="AFIII",VLOOKUP(D8,Sheet1!$A$4:$H$18,5,FALSE),IF(H7="UBIII",VLOOKUP(D8,Sheet1!$A$4:$H$18,8,FALSE),IF(H7="",VLOOKUP(D8,Sheet1!$A$4:$H$18,2,FALSE),"0")))</f>
        <v>2120</v>
      </c>
      <c r="W8" s="201">
        <f t="shared" si="5"/>
        <v>0</v>
      </c>
      <c r="X8" s="208">
        <f t="shared" si="6"/>
        <v>3264</v>
      </c>
      <c r="Y8" s="171" t="str">
        <f t="shared" si="1"/>
        <v>SUCCESS</v>
      </c>
      <c r="Z8" s="171" t="str">
        <f t="shared" si="2"/>
        <v>ERROR</v>
      </c>
      <c r="AA8" s="185">
        <f t="shared" si="7"/>
        <v>115.31874405328257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168</v>
      </c>
      <c r="B9" s="113">
        <f t="shared" si="3"/>
        <v>1380</v>
      </c>
      <c r="C9" s="118">
        <f t="shared" si="0"/>
        <v>12.900000000000002</v>
      </c>
      <c r="D9" s="181" t="s">
        <v>12</v>
      </c>
      <c r="E9" s="182">
        <f>IF(H8="AFIII",VLOOKUP($D9,Sheet1!$A$34:$K$48,5,FALSE),IF(H8="UBIII",VLOOKUP($D9,Sheet1!$A$34:$K$48,8,FALSE),VLOOKUP($D9,Sheet1!$A$34:$K$48,2,FALSE)))</f>
        <v>1.67</v>
      </c>
      <c r="F9" s="182">
        <f>ROUNDDOWN((IF(H8="AFIII",VLOOKUP($D9,Sheet1!$A$34:$K$48,5,FALSE),IF(H8="UBIII",VLOOKUP($D9,Sheet1!$A$34:$K$48,8,FALSE),VLOOKUP($D9,Sheet1!$A$34:$K$48,2,FALSE))))*0.85,2)</f>
        <v>1.41</v>
      </c>
      <c r="G9" s="182">
        <f t="shared" si="4"/>
        <v>2.39</v>
      </c>
      <c r="H9" s="183" t="s">
        <v>122</v>
      </c>
      <c r="I9" s="182">
        <v>10</v>
      </c>
      <c r="V9" s="201">
        <f>IF(H8="AFIII",VLOOKUP(D9,Sheet1!$A$4:$H$18,5,FALSE),IF(H8="UBIII",VLOOKUP(D9,Sheet1!$A$4:$H$18,8,FALSE),IF(H8="",VLOOKUP(D9,Sheet1!$A$4:$H$18,2,FALSE),"0")))</f>
        <v>265</v>
      </c>
      <c r="W9" s="201">
        <f t="shared" si="5"/>
        <v>0</v>
      </c>
      <c r="X9" s="208">
        <f t="shared" si="6"/>
        <v>2999</v>
      </c>
      <c r="Y9" s="171" t="str">
        <f t="shared" si="1"/>
        <v>SUCCESS</v>
      </c>
      <c r="Z9" s="171" t="str">
        <f t="shared" si="2"/>
        <v>ERROR</v>
      </c>
      <c r="AA9" s="185">
        <f t="shared" si="7"/>
        <v>106.97674418604649</v>
      </c>
    </row>
    <row r="10" spans="1:27">
      <c r="A10" s="12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295</v>
      </c>
      <c r="B10" s="123">
        <f t="shared" si="3"/>
        <v>1675</v>
      </c>
      <c r="C10" s="124">
        <f t="shared" si="0"/>
        <v>15.760000000000002</v>
      </c>
      <c r="D10" s="186" t="s">
        <v>19</v>
      </c>
      <c r="E10" s="187">
        <f>IF(H9="AFIII",VLOOKUP($D10,Sheet1!$A$34:$K$48,5,FALSE),IF(H9="UBIII",VLOOKUP($D10,Sheet1!$A$34:$K$48,8,FALSE),VLOOKUP($D10,Sheet1!$A$34:$K$48,2,FALSE)))</f>
        <v>2.86</v>
      </c>
      <c r="F10" s="187">
        <f>ROUNDDOWN((IF(H9="AFIII",VLOOKUP($D10,Sheet1!$A$34:$K$48,5,FALSE),IF(H9="UBIII",VLOOKUP($D10,Sheet1!$A$34:$K$48,8,FALSE),VLOOKUP($D10,Sheet1!$A$34:$K$48,2,FALSE))))*0.85,2)</f>
        <v>2.4300000000000002</v>
      </c>
      <c r="G10" s="187">
        <f t="shared" si="4"/>
        <v>2.86</v>
      </c>
      <c r="H10" s="188" t="s">
        <v>122</v>
      </c>
      <c r="I10" s="187">
        <v>10</v>
      </c>
      <c r="J10" s="188"/>
      <c r="K10" s="187"/>
      <c r="L10" s="187"/>
      <c r="M10" s="188"/>
      <c r="N10" s="187"/>
      <c r="O10" s="187"/>
      <c r="P10" s="188" t="s">
        <v>17</v>
      </c>
      <c r="Q10" s="187">
        <v>21</v>
      </c>
      <c r="R10" s="187"/>
      <c r="S10" s="188"/>
      <c r="T10" s="187"/>
      <c r="U10" s="189"/>
      <c r="V10" s="209">
        <f>IF(H9="AFIII",VLOOKUP(D10,Sheet1!$A$4:$H$18,5,FALSE),IF(H9="UBIII",VLOOKUP(D10,Sheet1!$A$4:$H$18,8,FALSE),IF(H9="",VLOOKUP(D10,Sheet1!$A$4:$H$18,2,FALSE),"0")))</f>
        <v>1060</v>
      </c>
      <c r="W10" s="209">
        <f t="shared" si="5"/>
        <v>7033</v>
      </c>
      <c r="X10" s="210">
        <f t="shared" si="6"/>
        <v>8972</v>
      </c>
      <c r="Y10" s="190" t="str">
        <f t="shared" si="1"/>
        <v>SUCCESS</v>
      </c>
      <c r="Z10" s="190" t="str">
        <f t="shared" si="2"/>
        <v>ERROR</v>
      </c>
      <c r="AA10" s="185">
        <f t="shared" si="7"/>
        <v>106.28172588832486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168</v>
      </c>
      <c r="B11" s="113">
        <f t="shared" si="3"/>
        <v>1843</v>
      </c>
      <c r="C11" s="118">
        <f t="shared" si="0"/>
        <v>18.150000000000002</v>
      </c>
      <c r="D11" s="181" t="s">
        <v>4</v>
      </c>
      <c r="E11" s="182">
        <f>IF(H10="AFIII",VLOOKUP($D11,Sheet1!$A$34:$K$48,5,FALSE),IF(H10="UBIII",VLOOKUP($D11,Sheet1!$A$34:$K$48,8,FALSE),VLOOKUP($D11,Sheet1!$A$34:$K$48,2,FALSE)))</f>
        <v>1.67</v>
      </c>
      <c r="F11" s="182">
        <f>ROUNDDOWN((IF(H10="AFIII",VLOOKUP($D11,Sheet1!$A$34:$K$48,5,FALSE),IF(H10="UBIII",VLOOKUP($D11,Sheet1!$A$34:$K$48,8,FALSE),VLOOKUP($D11,Sheet1!$A$34:$K$48,2,FALSE))))*0.85,2)</f>
        <v>1.41</v>
      </c>
      <c r="G11" s="182">
        <f t="shared" si="4"/>
        <v>2.39</v>
      </c>
      <c r="H11" s="183" t="s">
        <v>84</v>
      </c>
      <c r="I11" s="182">
        <v>10</v>
      </c>
      <c r="J11" s="183" t="s">
        <v>105</v>
      </c>
      <c r="K11" s="182">
        <v>30</v>
      </c>
      <c r="L11" s="182">
        <v>90</v>
      </c>
      <c r="M11" s="183" t="s">
        <v>96</v>
      </c>
      <c r="N11" s="182">
        <v>20</v>
      </c>
      <c r="O11" s="182">
        <v>180</v>
      </c>
      <c r="Q11" s="182">
        <f>Q10-G11</f>
        <v>18.61</v>
      </c>
      <c r="V11" s="201">
        <f>IF(H10="AFIII",VLOOKUP(D11,Sheet1!$A$4:$H$18,5,FALSE),IF(H10="UBIII",VLOOKUP(D11,Sheet1!$A$4:$H$18,8,FALSE),IF(H10="",VLOOKUP(D11,Sheet1!$A$4:$H$18,2,FALSE),"0")))</f>
        <v>442</v>
      </c>
      <c r="W11" s="201">
        <f t="shared" si="5"/>
        <v>7033</v>
      </c>
      <c r="X11" s="208">
        <f t="shared" si="6"/>
        <v>10950</v>
      </c>
      <c r="Y11" s="171" t="str">
        <f t="shared" si="1"/>
        <v>SUCCESS</v>
      </c>
      <c r="Z11" s="171" t="str">
        <f t="shared" si="2"/>
        <v>ERROR</v>
      </c>
      <c r="AA11" s="185">
        <f t="shared" si="7"/>
        <v>101.54269972451789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604</v>
      </c>
      <c r="B12" s="113">
        <f t="shared" si="3"/>
        <v>2447</v>
      </c>
      <c r="C12" s="118">
        <f t="shared" si="0"/>
        <v>21.01</v>
      </c>
      <c r="D12" s="181" t="s">
        <v>6</v>
      </c>
      <c r="E12" s="182">
        <f>IF(H11="AFIII",VLOOKUP($D12,Sheet1!$A$34:$K$48,5,FALSE),IF(H11="UBIII",VLOOKUP($D12,Sheet1!$A$34:$K$48,8,FALSE),VLOOKUP($D12,Sheet1!$A$34:$K$48,2,FALSE)))</f>
        <v>2.86</v>
      </c>
      <c r="F12" s="182">
        <f>ROUNDDOWN((IF(H11="AFIII",VLOOKUP($D12,Sheet1!$A$34:$K$48,5,FALSE),IF(H11="UBIII",VLOOKUP($D12,Sheet1!$A$34:$K$48,8,FALSE),VLOOKUP($D12,Sheet1!$A$34:$K$48,2,FALSE))))*0.85,2)</f>
        <v>2.4300000000000002</v>
      </c>
      <c r="G12" s="182">
        <f>IF(M11="迅速",IF(S11="黒魔紋",$F$1,$E$1),IF(S11="黒魔紋",IF(F12&lt;$F$1,$F$1,F12),IF(E12&lt;$E$1,$E$1,E12)))</f>
        <v>2.86</v>
      </c>
      <c r="H12" s="183" t="s">
        <v>84</v>
      </c>
      <c r="I12" s="182">
        <f>I11-G12</f>
        <v>7.1400000000000006</v>
      </c>
      <c r="K12" s="182">
        <f>K11-G12</f>
        <v>27.14</v>
      </c>
      <c r="L12" s="182">
        <f>L11-G12</f>
        <v>87.14</v>
      </c>
      <c r="N12" s="182">
        <f>N11-G12</f>
        <v>17.14</v>
      </c>
      <c r="Q12" s="182">
        <f t="shared" ref="Q12:Q16" si="8">Q11-G12</f>
        <v>15.75</v>
      </c>
      <c r="V12" s="201">
        <f>IF(H11="AFIII",VLOOKUP(D12,Sheet1!$A$4:$H$18,5,FALSE),IF(H11="UBIII",VLOOKUP(D12,Sheet1!$A$4:$H$18,8,FALSE),IF(H11="",VLOOKUP(D12,Sheet1!$A$4:$H$18,2,FALSE),"0")))</f>
        <v>1768</v>
      </c>
      <c r="W12" s="201">
        <f t="shared" si="5"/>
        <v>0</v>
      </c>
      <c r="X12" s="208">
        <f t="shared" si="6"/>
        <v>9182</v>
      </c>
      <c r="Y12" s="171" t="str">
        <f t="shared" si="1"/>
        <v>SUCCESS</v>
      </c>
      <c r="Z12" s="171" t="str">
        <f t="shared" si="2"/>
        <v>SUCCESS</v>
      </c>
      <c r="AA12" s="185">
        <f t="shared" si="7"/>
        <v>116.46834840552117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3"/>
        <v>3051</v>
      </c>
      <c r="C13" s="118">
        <f t="shared" si="0"/>
        <v>23.87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4"/>
        <v>2.86</v>
      </c>
      <c r="H13" s="183" t="s">
        <v>84</v>
      </c>
      <c r="I13" s="182">
        <f t="shared" ref="I13" si="9">I12-G13</f>
        <v>4.2800000000000011</v>
      </c>
      <c r="K13" s="182">
        <f t="shared" ref="K13:K16" si="10">K12-G13</f>
        <v>24.28</v>
      </c>
      <c r="L13" s="182">
        <f t="shared" ref="L13:L16" si="11">L12-G13</f>
        <v>84.28</v>
      </c>
      <c r="N13" s="182">
        <f>N12-G13</f>
        <v>14.280000000000001</v>
      </c>
      <c r="P13" s="183" t="s">
        <v>246</v>
      </c>
      <c r="Q13" s="182">
        <f t="shared" si="8"/>
        <v>12.89</v>
      </c>
      <c r="R13" s="182">
        <v>60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5"/>
        <v>0</v>
      </c>
      <c r="X13" s="208">
        <f t="shared" si="6"/>
        <v>7414</v>
      </c>
      <c r="Y13" s="171" t="str">
        <f t="shared" si="1"/>
        <v>SUCCESS</v>
      </c>
      <c r="Z13" s="171" t="str">
        <f t="shared" si="2"/>
        <v>SUCCESS</v>
      </c>
      <c r="AA13" s="185">
        <f t="shared" si="7"/>
        <v>127.8173439463762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388</v>
      </c>
      <c r="B14" s="113">
        <f t="shared" si="3"/>
        <v>3439</v>
      </c>
      <c r="C14" s="118">
        <f t="shared" si="0"/>
        <v>26.26</v>
      </c>
      <c r="D14" s="181" t="s">
        <v>1</v>
      </c>
      <c r="E14" s="182">
        <f>IF(H13="AFIII",VLOOKUP($D14,Sheet1!$A$34:$K$48,5,FALSE),IF(H13="UBIII",VLOOKUP($D14,Sheet1!$A$34:$K$48,8,FALSE),VLOOKUP($D14,Sheet1!$A$34:$K$48,2,FALSE)))</f>
        <v>2.39</v>
      </c>
      <c r="F14" s="182">
        <f>ROUNDDOWN((IF(H13="AFIII",VLOOKUP($D14,Sheet1!$A$34:$K$48,5,FALSE),IF(H13="UBIII",VLOOKUP($D14,Sheet1!$A$34:$K$48,8,FALSE),VLOOKUP($D14,Sheet1!$A$34:$K$48,2,FALSE))))*0.85,2)</f>
        <v>2.0299999999999998</v>
      </c>
      <c r="G14" s="182">
        <f t="shared" si="4"/>
        <v>2.39</v>
      </c>
      <c r="H14" s="183" t="s">
        <v>84</v>
      </c>
      <c r="I14" s="182">
        <v>10</v>
      </c>
      <c r="K14" s="182">
        <f t="shared" si="10"/>
        <v>21.89</v>
      </c>
      <c r="L14" s="182">
        <f t="shared" si="11"/>
        <v>81.89</v>
      </c>
      <c r="N14" s="182">
        <f t="shared" ref="N14" si="12">N13-G14</f>
        <v>11.89</v>
      </c>
      <c r="Q14" s="182">
        <f t="shared" si="8"/>
        <v>10.5</v>
      </c>
      <c r="R14" s="182">
        <f t="shared" ref="R14:R16" si="13">R13-G14</f>
        <v>57.61</v>
      </c>
      <c r="V14" s="201">
        <f>IF(H13="AFIII",VLOOKUP(D14,Sheet1!$A$4:$H$18,5,FALSE),IF(H13="UBIII",VLOOKUP(D14,Sheet1!$A$4:$H$18,8,FALSE),IF(H13="",VLOOKUP(D14,Sheet1!$A$4:$H$18,2,FALSE),"0")))</f>
        <v>2120</v>
      </c>
      <c r="W14" s="201">
        <f t="shared" si="5"/>
        <v>0</v>
      </c>
      <c r="X14" s="208">
        <f t="shared" si="6"/>
        <v>5294</v>
      </c>
      <c r="Y14" s="171" t="str">
        <f t="shared" si="1"/>
        <v>SUCCESS</v>
      </c>
      <c r="Z14" s="171" t="str">
        <f t="shared" si="2"/>
        <v>SUCCESS</v>
      </c>
      <c r="AA14" s="185">
        <f t="shared" si="7"/>
        <v>130.95963442498095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604</v>
      </c>
      <c r="B15" s="113">
        <f t="shared" si="3"/>
        <v>4043</v>
      </c>
      <c r="C15" s="118">
        <f t="shared" si="0"/>
        <v>29.12</v>
      </c>
      <c r="D15" s="181" t="s">
        <v>6</v>
      </c>
      <c r="E15" s="182">
        <f>IF(H14="AFIII",VLOOKUP($D15,Sheet1!$A$34:$K$48,5,FALSE),IF(H14="UBIII",VLOOKUP($D15,Sheet1!$A$34:$K$48,8,FALSE),VLOOKUP($D15,Sheet1!$A$34:$K$48,2,FALSE)))</f>
        <v>2.86</v>
      </c>
      <c r="F15" s="182">
        <f>ROUNDDOWN((IF(H14="AFIII",VLOOKUP($D15,Sheet1!$A$34:$K$48,5,FALSE),IF(H14="UBIII",VLOOKUP($D15,Sheet1!$A$34:$K$48,8,FALSE),VLOOKUP($D15,Sheet1!$A$34:$K$48,2,FALSE))))*0.85,2)</f>
        <v>2.4300000000000002</v>
      </c>
      <c r="G15" s="182">
        <f t="shared" si="4"/>
        <v>2.86</v>
      </c>
      <c r="H15" s="183" t="s">
        <v>84</v>
      </c>
      <c r="I15" s="182">
        <f>I14-G15</f>
        <v>7.1400000000000006</v>
      </c>
      <c r="K15" s="182">
        <f>K14-G15</f>
        <v>19.03</v>
      </c>
      <c r="L15" s="182">
        <f>L14-G15</f>
        <v>79.03</v>
      </c>
      <c r="N15" s="182">
        <f>N14-G15</f>
        <v>9.0300000000000011</v>
      </c>
      <c r="Q15" s="182">
        <f t="shared" si="8"/>
        <v>7.6400000000000006</v>
      </c>
      <c r="R15" s="182">
        <f t="shared" si="13"/>
        <v>54.75</v>
      </c>
      <c r="V15" s="201">
        <f>IF(H14="AFIII",VLOOKUP(D15,Sheet1!$A$4:$H$18,5,FALSE),IF(H14="UBIII",VLOOKUP(D15,Sheet1!$A$4:$H$18,8,FALSE),IF(H14="",VLOOKUP(D15,Sheet1!$A$4:$H$18,2,FALSE),"0")))</f>
        <v>1768</v>
      </c>
      <c r="W15" s="201">
        <f t="shared" si="5"/>
        <v>0</v>
      </c>
      <c r="X15" s="208">
        <f t="shared" si="6"/>
        <v>3526</v>
      </c>
      <c r="Y15" s="171" t="str">
        <f t="shared" si="1"/>
        <v>SUCCESS</v>
      </c>
      <c r="Z15" s="171" t="str">
        <f t="shared" si="2"/>
        <v>SUCCESS</v>
      </c>
      <c r="AA15" s="185">
        <f t="shared" si="7"/>
        <v>138.83928571428572</v>
      </c>
    </row>
    <row r="16" spans="1:27">
      <c r="A16" s="112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604</v>
      </c>
      <c r="B16" s="113">
        <f t="shared" si="3"/>
        <v>4647</v>
      </c>
      <c r="C16" s="118">
        <f t="shared" si="0"/>
        <v>31.98</v>
      </c>
      <c r="D16" s="181" t="s">
        <v>6</v>
      </c>
      <c r="E16" s="182">
        <f>IF(H15="AFIII",VLOOKUP($D16,Sheet1!$A$34:$K$48,5,FALSE),IF(H15="UBIII",VLOOKUP($D16,Sheet1!$A$34:$K$48,8,FALSE),VLOOKUP($D16,Sheet1!$A$34:$K$48,2,FALSE)))</f>
        <v>2.86</v>
      </c>
      <c r="F16" s="182">
        <f>ROUNDDOWN((IF(H15="AFIII",VLOOKUP($D16,Sheet1!$A$34:$K$48,5,FALSE),IF(H15="UBIII",VLOOKUP($D16,Sheet1!$A$34:$K$48,8,FALSE),VLOOKUP($D16,Sheet1!$A$34:$K$48,2,FALSE))))*0.85,2)</f>
        <v>2.4300000000000002</v>
      </c>
      <c r="G16" s="182">
        <f t="shared" si="4"/>
        <v>2.86</v>
      </c>
      <c r="H16" s="183" t="s">
        <v>84</v>
      </c>
      <c r="I16" s="182">
        <f>I15-G16</f>
        <v>4.2800000000000011</v>
      </c>
      <c r="K16" s="182">
        <f t="shared" si="10"/>
        <v>16.170000000000002</v>
      </c>
      <c r="L16" s="182">
        <f t="shared" si="11"/>
        <v>76.17</v>
      </c>
      <c r="N16" s="182">
        <f t="shared" ref="N16" si="14">N15-G16</f>
        <v>6.1700000000000017</v>
      </c>
      <c r="Q16" s="182">
        <f t="shared" si="8"/>
        <v>4.7800000000000011</v>
      </c>
      <c r="R16" s="182">
        <f t="shared" si="13"/>
        <v>51.89</v>
      </c>
      <c r="V16" s="201">
        <f>IF(H15="AFIII",VLOOKUP(D16,Sheet1!$A$4:$H$18,5,FALSE),IF(H15="UBIII",VLOOKUP(D16,Sheet1!$A$4:$H$18,8,FALSE),IF(H15="",VLOOKUP(D16,Sheet1!$A$4:$H$18,2,FALSE),"0")))</f>
        <v>1768</v>
      </c>
      <c r="W16" s="201">
        <f t="shared" si="5"/>
        <v>0</v>
      </c>
      <c r="X16" s="208">
        <f t="shared" si="6"/>
        <v>1758</v>
      </c>
      <c r="Y16" s="171" t="str">
        <f t="shared" si="1"/>
        <v>SUCCESS</v>
      </c>
      <c r="Z16" s="171" t="str">
        <f t="shared" si="2"/>
        <v>SUCCESS</v>
      </c>
      <c r="AA16" s="185">
        <f t="shared" si="7"/>
        <v>145.30956848030019</v>
      </c>
    </row>
    <row r="17" spans="1:27">
      <c r="A17" s="112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518</v>
      </c>
      <c r="B17" s="113">
        <f t="shared" ref="B17:B19" si="15">B16+A17</f>
        <v>5165</v>
      </c>
      <c r="C17" s="118">
        <f>C16+G17</f>
        <v>34.369999999999997</v>
      </c>
      <c r="D17" s="181" t="s">
        <v>129</v>
      </c>
      <c r="E17" s="182">
        <f>IF(H16="AFIII",VLOOKUP($D17,Sheet1!$A$34:$K$48,5,FALSE),IF(H16="UBIII",VLOOKUP($D17,Sheet1!$A$34:$K$48,8,FALSE),VLOOKUP($D17,Sheet1!$A$34:$K$48,2,FALSE)))</f>
        <v>2.39</v>
      </c>
      <c r="F17" s="182">
        <f>ROUNDDOWN((IF(H16="AFIII",VLOOKUP($D17,Sheet1!$A$34:$K$48,5,FALSE),IF(H16="UBIII",VLOOKUP($D17,Sheet1!$A$34:$K$48,8,FALSE),VLOOKUP($D17,Sheet1!$A$34:$K$48,2,FALSE))))*0.85,2)</f>
        <v>2.0299999999999998</v>
      </c>
      <c r="G17" s="182">
        <f t="shared" ref="G17:G18" si="16">IF(M16="迅速",IF(S16="黒魔紋",$F$1,$E$1),IF(S16="黒魔紋",IF(F17&lt;$F$1,$F$1,F17),IF(E17&lt;$E$1,$E$1,E17)))</f>
        <v>2.39</v>
      </c>
      <c r="H17" s="183" t="s">
        <v>84</v>
      </c>
      <c r="I17" s="182">
        <v>10</v>
      </c>
      <c r="K17" s="182">
        <f t="shared" ref="K17:K19" si="17">K16-G17</f>
        <v>13.780000000000001</v>
      </c>
      <c r="L17" s="182">
        <f t="shared" ref="L17:L19" si="18">L16-G17</f>
        <v>73.78</v>
      </c>
      <c r="M17" s="183" t="s">
        <v>100</v>
      </c>
      <c r="N17" s="182">
        <f t="shared" ref="N17:N19" si="19">N16-G17</f>
        <v>3.7800000000000016</v>
      </c>
      <c r="O17" s="182">
        <v>180</v>
      </c>
      <c r="Q17" s="182">
        <f t="shared" ref="Q17:Q19" si="20">Q16-G17</f>
        <v>2.390000000000001</v>
      </c>
      <c r="R17" s="182">
        <f>R16-G17</f>
        <v>49.5</v>
      </c>
      <c r="V17" s="201">
        <f>IF(H16="AFIII",VLOOKUP(D17,Sheet1!$A$4:$H$18,5,FALSE),IF(H16="UBIII",VLOOKUP(D17,Sheet1!$A$4:$H$18,8,FALSE),IF(H16="",VLOOKUP(D17,Sheet1!$A$4:$H$18,2,FALSE),"0")))</f>
        <v>0</v>
      </c>
      <c r="W17" s="201">
        <f t="shared" ref="W17:W19" si="21">IF(H16="UBIII",$X$2,0)</f>
        <v>0</v>
      </c>
      <c r="X17" s="208">
        <f>IF(M17="コンバート",(IF(D17="フレア",0,IF(X16-V17+W17&gt;$X$3,$X$3-V17,X16-V17+W17)))+$X$1,IF(D17="フレア",0,IF(X16-V17+W17&gt;$X$3,$X$3-V17,X16-V17+W17)))</f>
        <v>5175</v>
      </c>
      <c r="Y17" s="171" t="str">
        <f t="shared" ref="Y17:Y19" si="22">IF(X16-V17&lt;0,"ERROR","SUCCESS")</f>
        <v>SUCCESS</v>
      </c>
      <c r="Z17" s="171" t="str">
        <f t="shared" ref="Z17:Z19" si="23">IF(K16-G17&lt;0,"ERROR","SUCCESS")</f>
        <v>SUCCESS</v>
      </c>
      <c r="AA17" s="185">
        <f t="shared" ref="AA17:AA19" si="24">B17/C17</f>
        <v>150.27640384055863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604</v>
      </c>
      <c r="B18" s="113">
        <f t="shared" si="15"/>
        <v>5769</v>
      </c>
      <c r="C18" s="118">
        <f>C17+G18</f>
        <v>37.229999999999997</v>
      </c>
      <c r="D18" s="181" t="s">
        <v>6</v>
      </c>
      <c r="E18" s="182">
        <f>IF(H17="AFIII",VLOOKUP($D18,Sheet1!$A$34:$K$48,5,FALSE),IF(H17="UBIII",VLOOKUP($D18,Sheet1!$A$34:$K$48,8,FALSE),VLOOKUP($D18,Sheet1!$A$34:$K$48,2,FALSE)))</f>
        <v>2.86</v>
      </c>
      <c r="F18" s="182">
        <f>ROUNDDOWN((IF(H17="AFIII",VLOOKUP($D18,Sheet1!$A$34:$K$48,5,FALSE),IF(H17="UBIII",VLOOKUP($D18,Sheet1!$A$34:$K$48,8,FALSE),VLOOKUP($D18,Sheet1!$A$34:$K$48,2,FALSE))))*0.85,2)</f>
        <v>2.4300000000000002</v>
      </c>
      <c r="G18" s="182">
        <f t="shared" si="16"/>
        <v>2.86</v>
      </c>
      <c r="H18" s="183" t="s">
        <v>84</v>
      </c>
      <c r="I18" s="182">
        <f>I17-G18</f>
        <v>7.1400000000000006</v>
      </c>
      <c r="K18" s="182">
        <f t="shared" si="17"/>
        <v>10.920000000000002</v>
      </c>
      <c r="L18" s="182">
        <f t="shared" si="18"/>
        <v>70.92</v>
      </c>
      <c r="M18" s="183" t="s">
        <v>102</v>
      </c>
      <c r="N18" s="182">
        <f t="shared" si="19"/>
        <v>0.92000000000000171</v>
      </c>
      <c r="O18" s="182">
        <v>60</v>
      </c>
      <c r="Q18" s="182">
        <f t="shared" si="20"/>
        <v>-0.46999999999999886</v>
      </c>
      <c r="R18" s="182">
        <f>R17-G18</f>
        <v>46.64</v>
      </c>
      <c r="V18" s="201">
        <f>IF(H17="AFIII",VLOOKUP(D18,Sheet1!$A$4:$H$18,5,FALSE),IF(H17="UBIII",VLOOKUP(D18,Sheet1!$A$4:$H$18,8,FALSE),IF(H17="",VLOOKUP(D18,Sheet1!$A$4:$H$18,2,FALSE),"0")))</f>
        <v>1768</v>
      </c>
      <c r="W18" s="201">
        <f t="shared" si="21"/>
        <v>0</v>
      </c>
      <c r="X18" s="208">
        <f t="shared" ref="X18:X19" si="25">IF(M18="コンバート",(IF(D18="フレア",0,IF(X17-V18+W18&gt;$X$3,$X$3-V18,X17-V18+W18)))+$X$1,IF(D18="フレア",0,IF(X17-V18+W18&gt;$X$3,$X$3-V18,X17-V18+W18)))</f>
        <v>3407</v>
      </c>
      <c r="Y18" s="171" t="str">
        <f t="shared" si="22"/>
        <v>SUCCESS</v>
      </c>
      <c r="Z18" s="171" t="str">
        <f t="shared" si="23"/>
        <v>SUCCESS</v>
      </c>
      <c r="AA18" s="185">
        <f t="shared" si="24"/>
        <v>154.95568090249799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504</v>
      </c>
      <c r="B19" s="113">
        <f t="shared" si="15"/>
        <v>6273</v>
      </c>
      <c r="C19" s="118">
        <f t="shared" ref="C19" si="26">C18+G19</f>
        <v>39.619999999999997</v>
      </c>
      <c r="D19" s="181" t="s">
        <v>247</v>
      </c>
      <c r="E19" s="182">
        <f>IF(H18="AFIII",VLOOKUP($D19,Sheet1!$A$34:$K$48,5,FALSE),IF(H18="UBIII",VLOOKUP($D19,Sheet1!$A$34:$K$48,8,FALSE),VLOOKUP($D19,Sheet1!$A$34:$K$48,2,FALSE)))</f>
        <v>2.86</v>
      </c>
      <c r="F19" s="182">
        <f>ROUNDDOWN((IF(H18="AFIII",VLOOKUP($D19,Sheet1!$A$34:$K$48,5,FALSE),IF(H18="UBIII",VLOOKUP($D19,Sheet1!$A$34:$K$48,8,FALSE),VLOOKUP($D19,Sheet1!$A$34:$K$48,2,FALSE))))*0.85,2)</f>
        <v>2.4300000000000002</v>
      </c>
      <c r="G19" s="182">
        <f>IF(M18="迅速",IF(S18="黒魔紋",$F$1,$E$1),IF(S18="黒魔紋",IF(F19&lt;$F$1,$F$1,F19),IF(E19&lt;$E$1,$E$1,E19)))</f>
        <v>2.39</v>
      </c>
      <c r="H19" s="183" t="s">
        <v>84</v>
      </c>
      <c r="I19" s="182">
        <f>I18-G19</f>
        <v>4.75</v>
      </c>
      <c r="K19" s="182">
        <f t="shared" si="17"/>
        <v>8.5300000000000011</v>
      </c>
      <c r="L19" s="182">
        <f t="shared" si="18"/>
        <v>68.53</v>
      </c>
      <c r="N19" s="182">
        <f t="shared" si="19"/>
        <v>-1.4699999999999984</v>
      </c>
      <c r="O19" s="182">
        <f>O18-G19</f>
        <v>57.61</v>
      </c>
      <c r="Q19" s="182">
        <f t="shared" si="20"/>
        <v>-2.859999999999999</v>
      </c>
      <c r="R19" s="182">
        <f t="shared" ref="R19" si="27">R18-G19</f>
        <v>44.25</v>
      </c>
      <c r="V19" s="201">
        <f>IF(H18="AFIII",VLOOKUP(D19,Sheet1!$A$4:$H$18,5,FALSE),IF(H18="UBIII",VLOOKUP(D19,Sheet1!$A$4:$H$18,8,FALSE),IF(H18="",VLOOKUP(D19,Sheet1!$A$4:$H$18,2,FALSE),"0")))</f>
        <v>1768</v>
      </c>
      <c r="W19" s="201">
        <f t="shared" si="21"/>
        <v>0</v>
      </c>
      <c r="X19" s="208">
        <f t="shared" si="25"/>
        <v>1639</v>
      </c>
      <c r="Y19" s="171" t="str">
        <f t="shared" si="22"/>
        <v>SUCCESS</v>
      </c>
      <c r="Z19" s="171" t="str">
        <f t="shared" si="23"/>
        <v>SUCCESS</v>
      </c>
      <c r="AA19" s="185">
        <f t="shared" si="24"/>
        <v>158.32912670368501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168</v>
      </c>
      <c r="B20" s="113">
        <f t="shared" ref="B20:B45" si="28">B19+A20</f>
        <v>6441</v>
      </c>
      <c r="C20" s="118">
        <f t="shared" ref="C20:C45" si="29">C19+G20</f>
        <v>42.01</v>
      </c>
      <c r="D20" s="181" t="s">
        <v>12</v>
      </c>
      <c r="E20" s="182">
        <f>IF(H19="AFIII",VLOOKUP($D20,Sheet1!$A$34:$K$48,5,FALSE),IF(H19="UBIII",VLOOKUP($D20,Sheet1!$A$34:$K$48,8,FALSE),VLOOKUP($D20,Sheet1!$A$34:$K$48,2,FALSE)))</f>
        <v>1.67</v>
      </c>
      <c r="F20" s="182">
        <f>ROUNDDOWN((IF(H19="AFIII",VLOOKUP($D20,Sheet1!$A$34:$K$48,5,FALSE),IF(H19="UBIII",VLOOKUP($D20,Sheet1!$A$34:$K$48,8,FALSE),VLOOKUP($D20,Sheet1!$A$34:$K$48,2,FALSE))))*0.85,2)</f>
        <v>1.41</v>
      </c>
      <c r="G20" s="182">
        <f>IF(M19="迅速",IF(S19="黒魔紋",$F$1,$E$1),IF(S19="黒魔紋",IF(F20&lt;$F$1,$F$1,F20),IF(E20&lt;$E$1,$E$1,E20)))</f>
        <v>2.39</v>
      </c>
      <c r="H20" s="183" t="s">
        <v>122</v>
      </c>
      <c r="I20" s="182">
        <v>10</v>
      </c>
      <c r="K20" s="182">
        <f t="shared" ref="K20:K21" si="30">K19-G20</f>
        <v>6.1400000000000006</v>
      </c>
      <c r="L20" s="182">
        <f t="shared" ref="L20:L45" si="31">L19-G20</f>
        <v>66.14</v>
      </c>
      <c r="N20" s="182">
        <f t="shared" ref="N20:N21" si="32">N19-G20</f>
        <v>-3.8599999999999985</v>
      </c>
      <c r="O20" s="182">
        <f>O19-G20</f>
        <v>55.22</v>
      </c>
      <c r="Q20" s="182">
        <f t="shared" ref="Q20" si="33">Q19-G20</f>
        <v>-5.2499999999999991</v>
      </c>
      <c r="R20" s="182">
        <f t="shared" ref="R20:R34" si="34">R19-G20</f>
        <v>41.86</v>
      </c>
      <c r="V20" s="201">
        <f>IF(H19="AFIII",VLOOKUP(D20,Sheet1!$A$4:$H$18,5,FALSE),IF(H19="UBIII",VLOOKUP(D20,Sheet1!$A$4:$H$18,8,FALSE),IF(H19="",VLOOKUP(D20,Sheet1!$A$4:$H$18,2,FALSE),"0")))</f>
        <v>265</v>
      </c>
      <c r="W20" s="201">
        <f t="shared" ref="W20" si="35">IF(H19="UBIII",$X$2,0)</f>
        <v>0</v>
      </c>
      <c r="X20" s="208">
        <f t="shared" ref="X20" si="36">IF(M20="コンバート",(IF(D20="フレア",0,IF(X19-V20+W20&gt;$X$3,$X$3-V20,X19-V20+W20)))+$X$1,IF(D20="フレア",0,IF(X19-V20+W20&gt;$X$3,$X$3-V20,X19-V20+W20)))</f>
        <v>1374</v>
      </c>
      <c r="Y20" s="171" t="str">
        <f t="shared" ref="Y20" si="37">IF(X19-V20&lt;0,"ERROR","SUCCESS")</f>
        <v>SUCCESS</v>
      </c>
      <c r="Z20" s="171" t="str">
        <f t="shared" ref="Z20" si="38">IF(K19-G20&lt;0,"ERROR","SUCCESS")</f>
        <v>SUCCESS</v>
      </c>
      <c r="AA20" s="185">
        <f t="shared" ref="AA20" si="39">B20/C20</f>
        <v>153.32063794334684</v>
      </c>
    </row>
    <row r="21" spans="1:27">
      <c r="A21" s="112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295</v>
      </c>
      <c r="B21" s="113">
        <f t="shared" si="28"/>
        <v>6736</v>
      </c>
      <c r="C21" s="118">
        <f t="shared" si="29"/>
        <v>44.87</v>
      </c>
      <c r="D21" s="181" t="s">
        <v>19</v>
      </c>
      <c r="E21" s="182">
        <f>IF(H20="AFIII",VLOOKUP($D21,Sheet1!$A$34:$K$48,5,FALSE),IF(H20="UBIII",VLOOKUP($D21,Sheet1!$A$34:$K$48,8,FALSE),VLOOKUP($D21,Sheet1!$A$34:$K$48,2,FALSE)))</f>
        <v>2.86</v>
      </c>
      <c r="F21" s="182">
        <f>ROUNDDOWN((IF(H20="AFIII",VLOOKUP($D21,Sheet1!$A$34:$K$48,5,FALSE),IF(H20="UBIII",VLOOKUP($D21,Sheet1!$A$34:$K$48,8,FALSE),VLOOKUP($D21,Sheet1!$A$34:$K$48,2,FALSE))))*0.85,2)</f>
        <v>2.4300000000000002</v>
      </c>
      <c r="G21" s="182">
        <f>IF(M20="迅速",IF(S20="黒魔紋",$F$1,$E$1),IF(S20="黒魔紋",IF(F21&lt;$F$1,$F$1,F21),IF(E21&lt;$E$1,$E$1,E21)))</f>
        <v>2.86</v>
      </c>
      <c r="H21" s="183" t="s">
        <v>122</v>
      </c>
      <c r="I21" s="182">
        <f t="shared" ref="I21:I22" si="40">I20-G21</f>
        <v>7.1400000000000006</v>
      </c>
      <c r="K21" s="182">
        <f t="shared" si="30"/>
        <v>3.2800000000000007</v>
      </c>
      <c r="L21" s="182">
        <f t="shared" si="31"/>
        <v>63.28</v>
      </c>
      <c r="N21" s="182">
        <f t="shared" si="32"/>
        <v>-6.7199999999999989</v>
      </c>
      <c r="O21" s="182">
        <f>O20-G21</f>
        <v>52.36</v>
      </c>
      <c r="P21" s="183" t="s">
        <v>248</v>
      </c>
      <c r="Q21" s="182">
        <v>21</v>
      </c>
      <c r="R21" s="182">
        <f t="shared" si="34"/>
        <v>39</v>
      </c>
      <c r="V21" s="201">
        <f>IF(H20="AFIII",VLOOKUP(D21,Sheet1!$A$4:$H$18,5,FALSE),IF(H20="UBIII",VLOOKUP(D21,Sheet1!$A$4:$H$18,8,FALSE),IF(H20="",VLOOKUP(D21,Sheet1!$A$4:$H$18,2,FALSE),"0")))</f>
        <v>1060</v>
      </c>
      <c r="W21" s="201">
        <f t="shared" ref="W21:W45" si="41">IF(H20="UBIII",$X$2,0)</f>
        <v>7033</v>
      </c>
      <c r="X21" s="208">
        <f t="shared" ref="X21:X45" si="42">IF(M21="コンバート",(IF(D21="フレア",0,IF(X20-V21+W21&gt;$X$3,$X$3-V21,X20-V21+W21)))+$X$1,IF(D21="フレア",0,IF(X20-V21+W21&gt;$X$3,$X$3-V21,X20-V21+W21)))</f>
        <v>7347</v>
      </c>
      <c r="Y21" s="171" t="str">
        <f t="shared" ref="Y21:Y45" si="43">IF(X20-V21&lt;0,"ERROR","SUCCESS")</f>
        <v>SUCCESS</v>
      </c>
      <c r="Z21" s="171" t="str">
        <f t="shared" ref="Z21:Z45" si="44">IF(K20-G21&lt;0,"ERROR","SUCCESS")</f>
        <v>SUCCESS</v>
      </c>
      <c r="AA21" s="185">
        <f t="shared" ref="AA21:AA45" si="45">B21/C21</f>
        <v>150.12257633162471</v>
      </c>
    </row>
    <row r="22" spans="1:27">
      <c r="A22" s="119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280</v>
      </c>
      <c r="B22" s="120">
        <f t="shared" si="28"/>
        <v>7016</v>
      </c>
      <c r="C22" s="121">
        <f t="shared" si="29"/>
        <v>47.73</v>
      </c>
      <c r="D22" s="191" t="s">
        <v>14</v>
      </c>
      <c r="E22" s="192">
        <f>IF(H21="AFIII",VLOOKUP($D22,Sheet1!$A$34:$K$48,5,FALSE),IF(H21="UBIII",VLOOKUP($D22,Sheet1!$A$34:$K$48,8,FALSE),VLOOKUP($D22,Sheet1!$A$34:$K$48,2,FALSE)))</f>
        <v>2.86</v>
      </c>
      <c r="F22" s="192">
        <f>ROUNDDOWN((IF(H21="AFIII",VLOOKUP($D22,Sheet1!$A$34:$K$48,5,FALSE),IF(H21="UBIII",VLOOKUP($D22,Sheet1!$A$34:$K$48,8,FALSE),VLOOKUP($D22,Sheet1!$A$34:$K$48,2,FALSE))))*0.85,2)</f>
        <v>2.4300000000000002</v>
      </c>
      <c r="G22" s="192">
        <f t="shared" ref="G22:G45" si="46">IF(M21="迅速",IF(S21="黒魔紋",$F$1,$E$1),IF(S21="黒魔紋",IF(F22&lt;$F$1,$F$1,F22),IF(E22&lt;$E$1,$E$1,E22)))</f>
        <v>2.86</v>
      </c>
      <c r="H22" s="193" t="s">
        <v>122</v>
      </c>
      <c r="I22" s="192">
        <f t="shared" si="40"/>
        <v>4.2800000000000011</v>
      </c>
      <c r="J22" s="193"/>
      <c r="K22" s="192">
        <v>25</v>
      </c>
      <c r="L22" s="192">
        <f t="shared" si="31"/>
        <v>60.42</v>
      </c>
      <c r="M22" s="193"/>
      <c r="N22" s="192"/>
      <c r="O22" s="192">
        <f t="shared" ref="O22:O23" si="47">O21-G22</f>
        <v>49.5</v>
      </c>
      <c r="P22" s="193"/>
      <c r="Q22" s="192">
        <f>Q21-G22</f>
        <v>18.14</v>
      </c>
      <c r="R22" s="192">
        <f t="shared" si="34"/>
        <v>36.14</v>
      </c>
      <c r="S22" s="193"/>
      <c r="T22" s="192"/>
      <c r="U22" s="194"/>
      <c r="V22" s="211">
        <f>IF(H21="AFIII",VLOOKUP(D22,Sheet1!$A$4:$H$18,5,FALSE),IF(H21="UBIII",VLOOKUP(D22,Sheet1!$A$4:$H$18,8,FALSE),IF(H21="",VLOOKUP(D22,Sheet1!$A$4:$H$18,2,FALSE),"0")))</f>
        <v>884</v>
      </c>
      <c r="W22" s="211">
        <f t="shared" si="41"/>
        <v>7033</v>
      </c>
      <c r="X22" s="212">
        <f t="shared" si="42"/>
        <v>10508</v>
      </c>
      <c r="Y22" s="195" t="str">
        <f t="shared" si="43"/>
        <v>SUCCESS</v>
      </c>
      <c r="Z22" s="195" t="str">
        <f t="shared" si="44"/>
        <v>SUCCESS</v>
      </c>
      <c r="AA22" s="185">
        <f t="shared" si="45"/>
        <v>146.99350513304003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168</v>
      </c>
      <c r="B23" s="113">
        <f t="shared" si="28"/>
        <v>7184</v>
      </c>
      <c r="C23" s="118">
        <f t="shared" si="29"/>
        <v>50.12</v>
      </c>
      <c r="D23" s="181" t="s">
        <v>4</v>
      </c>
      <c r="E23" s="182">
        <f>IF(H22="AFIII",VLOOKUP($D23,Sheet1!$A$34:$K$48,5,FALSE),IF(H22="UBIII",VLOOKUP($D23,Sheet1!$A$34:$K$48,8,FALSE),VLOOKUP($D23,Sheet1!$A$34:$K$48,2,FALSE)))</f>
        <v>1.67</v>
      </c>
      <c r="F23" s="182">
        <f>ROUNDDOWN((IF(H22="AFIII",VLOOKUP($D23,Sheet1!$A$34:$K$48,5,FALSE),IF(H22="UBIII",VLOOKUP($D23,Sheet1!$A$34:$K$48,8,FALSE),VLOOKUP($D23,Sheet1!$A$34:$K$48,2,FALSE))))*0.85,2)</f>
        <v>1.41</v>
      </c>
      <c r="G23" s="182">
        <f t="shared" si="46"/>
        <v>2.39</v>
      </c>
      <c r="H23" s="183" t="s">
        <v>84</v>
      </c>
      <c r="I23" s="182">
        <v>10</v>
      </c>
      <c r="K23" s="182">
        <f>K22-G23</f>
        <v>22.61</v>
      </c>
      <c r="L23" s="182">
        <f t="shared" si="31"/>
        <v>58.03</v>
      </c>
      <c r="O23" s="182">
        <f t="shared" si="47"/>
        <v>47.11</v>
      </c>
      <c r="Q23" s="182">
        <f t="shared" ref="Q23:Q30" si="48">Q22-G23</f>
        <v>15.75</v>
      </c>
      <c r="R23" s="182">
        <f t="shared" si="34"/>
        <v>33.75</v>
      </c>
      <c r="V23" s="201">
        <f>IF(H22="AFIII",VLOOKUP(D23,Sheet1!$A$4:$H$18,5,FALSE),IF(H22="UBIII",VLOOKUP(D23,Sheet1!$A$4:$H$18,8,FALSE),IF(H22="",VLOOKUP(D23,Sheet1!$A$4:$H$18,2,FALSE),"0")))</f>
        <v>442</v>
      </c>
      <c r="W23" s="201">
        <f t="shared" si="41"/>
        <v>7033</v>
      </c>
      <c r="X23" s="208">
        <f t="shared" si="42"/>
        <v>10950</v>
      </c>
      <c r="Y23" s="171" t="str">
        <f t="shared" si="43"/>
        <v>SUCCESS</v>
      </c>
      <c r="Z23" s="171" t="str">
        <f t="shared" si="44"/>
        <v>SUCCESS</v>
      </c>
      <c r="AA23" s="185">
        <f t="shared" si="45"/>
        <v>143.33599361532322</v>
      </c>
    </row>
    <row r="24" spans="1:27">
      <c r="A24" s="112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504</v>
      </c>
      <c r="B24" s="113">
        <f t="shared" si="28"/>
        <v>7688</v>
      </c>
      <c r="C24" s="118">
        <f t="shared" si="29"/>
        <v>52.98</v>
      </c>
      <c r="D24" s="181" t="s">
        <v>6</v>
      </c>
      <c r="E24" s="182">
        <f>IF(H23="AFIII",VLOOKUP($D24,Sheet1!$A$34:$K$48,5,FALSE),IF(H23="UBIII",VLOOKUP($D24,Sheet1!$A$34:$K$48,8,FALSE),VLOOKUP($D24,Sheet1!$A$34:$K$48,2,FALSE)))</f>
        <v>2.86</v>
      </c>
      <c r="F24" s="182">
        <f>ROUNDDOWN((IF(H23="AFIII",VLOOKUP($D24,Sheet1!$A$34:$K$48,5,FALSE),IF(H23="UBIII",VLOOKUP($D24,Sheet1!$A$34:$K$48,8,FALSE),VLOOKUP($D24,Sheet1!$A$34:$K$48,2,FALSE))))*0.85,2)</f>
        <v>2.4300000000000002</v>
      </c>
      <c r="G24" s="182">
        <f t="shared" si="46"/>
        <v>2.86</v>
      </c>
      <c r="H24" s="183" t="s">
        <v>84</v>
      </c>
      <c r="I24" s="182">
        <f>I23-G24</f>
        <v>7.1400000000000006</v>
      </c>
      <c r="K24" s="182">
        <f t="shared" ref="K24:K30" si="49">K23-G24</f>
        <v>19.75</v>
      </c>
      <c r="L24" s="182">
        <f t="shared" si="31"/>
        <v>55.17</v>
      </c>
      <c r="O24" s="182">
        <f>O23-G24</f>
        <v>44.25</v>
      </c>
      <c r="Q24" s="182">
        <f t="shared" si="48"/>
        <v>12.89</v>
      </c>
      <c r="R24" s="182">
        <f t="shared" si="34"/>
        <v>30.89</v>
      </c>
      <c r="V24" s="201">
        <f>IF(H23="AFIII",VLOOKUP(D24,Sheet1!$A$4:$H$18,5,FALSE),IF(H23="UBIII",VLOOKUP(D24,Sheet1!$A$4:$H$18,8,FALSE),IF(H23="",VLOOKUP(D24,Sheet1!$A$4:$H$18,2,FALSE),"0")))</f>
        <v>1768</v>
      </c>
      <c r="W24" s="201">
        <f t="shared" si="41"/>
        <v>0</v>
      </c>
      <c r="X24" s="208">
        <f t="shared" si="42"/>
        <v>9182</v>
      </c>
      <c r="Y24" s="171" t="str">
        <f t="shared" si="43"/>
        <v>SUCCESS</v>
      </c>
      <c r="Z24" s="171" t="str">
        <f t="shared" si="44"/>
        <v>SUCCESS</v>
      </c>
      <c r="AA24" s="185">
        <f t="shared" si="45"/>
        <v>145.11136277840694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504</v>
      </c>
      <c r="B25" s="113">
        <f t="shared" si="28"/>
        <v>8192</v>
      </c>
      <c r="C25" s="118">
        <f t="shared" si="29"/>
        <v>55.839999999999996</v>
      </c>
      <c r="D25" s="181" t="s">
        <v>6</v>
      </c>
      <c r="E25" s="182">
        <f>IF(H24="AFIII",VLOOKUP($D25,Sheet1!$A$34:$K$48,5,FALSE),IF(H24="UBIII",VLOOKUP($D25,Sheet1!$A$34:$K$48,8,FALSE),VLOOKUP($D25,Sheet1!$A$34:$K$48,2,FALSE)))</f>
        <v>2.86</v>
      </c>
      <c r="F25" s="182">
        <f>ROUNDDOWN((IF(H24="AFIII",VLOOKUP($D25,Sheet1!$A$34:$K$48,5,FALSE),IF(H24="UBIII",VLOOKUP($D25,Sheet1!$A$34:$K$48,8,FALSE),VLOOKUP($D25,Sheet1!$A$34:$K$48,2,FALSE))))*0.85,2)</f>
        <v>2.4300000000000002</v>
      </c>
      <c r="G25" s="182">
        <f t="shared" si="46"/>
        <v>2.86</v>
      </c>
      <c r="H25" s="183" t="s">
        <v>84</v>
      </c>
      <c r="I25" s="182">
        <f>I24-G25</f>
        <v>4.2800000000000011</v>
      </c>
      <c r="K25" s="182">
        <f t="shared" si="49"/>
        <v>16.89</v>
      </c>
      <c r="L25" s="182">
        <f t="shared" si="31"/>
        <v>52.31</v>
      </c>
      <c r="O25" s="182">
        <f t="shared" ref="O25:O31" si="50">O24-G25</f>
        <v>41.39</v>
      </c>
      <c r="Q25" s="182">
        <f t="shared" si="48"/>
        <v>10.030000000000001</v>
      </c>
      <c r="R25" s="182">
        <f t="shared" si="34"/>
        <v>28.03</v>
      </c>
      <c r="V25" s="201">
        <f>IF(H24="AFIII",VLOOKUP(D25,Sheet1!$A$4:$H$18,5,FALSE),IF(H24="UBIII",VLOOKUP(D25,Sheet1!$A$4:$H$18,8,FALSE),IF(H24="",VLOOKUP(D25,Sheet1!$A$4:$H$18,2,FALSE),"0")))</f>
        <v>1768</v>
      </c>
      <c r="W25" s="201">
        <f t="shared" si="41"/>
        <v>0</v>
      </c>
      <c r="X25" s="208">
        <f t="shared" si="42"/>
        <v>7414</v>
      </c>
      <c r="Y25" s="171" t="str">
        <f t="shared" si="43"/>
        <v>SUCCESS</v>
      </c>
      <c r="Z25" s="171" t="str">
        <f t="shared" si="44"/>
        <v>SUCCESS</v>
      </c>
      <c r="AA25" s="185">
        <f t="shared" si="45"/>
        <v>146.70487106017194</v>
      </c>
    </row>
    <row r="26" spans="1:27">
      <c r="A26" s="112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324</v>
      </c>
      <c r="B26" s="113">
        <f t="shared" si="28"/>
        <v>8516</v>
      </c>
      <c r="C26" s="118">
        <f t="shared" si="29"/>
        <v>58.23</v>
      </c>
      <c r="D26" s="181" t="s">
        <v>1</v>
      </c>
      <c r="E26" s="182">
        <f>IF(H25="AFIII",VLOOKUP($D26,Sheet1!$A$34:$K$48,5,FALSE),IF(H25="UBIII",VLOOKUP($D26,Sheet1!$A$34:$K$48,8,FALSE),VLOOKUP($D26,Sheet1!$A$34:$K$48,2,FALSE)))</f>
        <v>2.39</v>
      </c>
      <c r="F26" s="182">
        <f>ROUNDDOWN((IF(H25="AFIII",VLOOKUP($D26,Sheet1!$A$34:$K$48,5,FALSE),IF(H25="UBIII",VLOOKUP($D26,Sheet1!$A$34:$K$48,8,FALSE),VLOOKUP($D26,Sheet1!$A$34:$K$48,2,FALSE))))*0.85,2)</f>
        <v>2.0299999999999998</v>
      </c>
      <c r="G26" s="182">
        <f t="shared" si="46"/>
        <v>2.39</v>
      </c>
      <c r="H26" s="183" t="s">
        <v>84</v>
      </c>
      <c r="I26" s="182">
        <v>10</v>
      </c>
      <c r="K26" s="182">
        <f t="shared" si="49"/>
        <v>14.5</v>
      </c>
      <c r="L26" s="182">
        <f t="shared" si="31"/>
        <v>49.92</v>
      </c>
      <c r="O26" s="182">
        <f t="shared" si="50"/>
        <v>39</v>
      </c>
      <c r="Q26" s="182">
        <f t="shared" si="48"/>
        <v>7.6400000000000006</v>
      </c>
      <c r="R26" s="182">
        <f t="shared" si="34"/>
        <v>25.64</v>
      </c>
      <c r="V26" s="201">
        <f>IF(H25="AFIII",VLOOKUP(D26,Sheet1!$A$4:$H$18,5,FALSE),IF(H25="UBIII",VLOOKUP(D26,Sheet1!$A$4:$H$18,8,FALSE),IF(H25="",VLOOKUP(D26,Sheet1!$A$4:$H$18,2,FALSE),"0")))</f>
        <v>2120</v>
      </c>
      <c r="W26" s="201">
        <f t="shared" si="41"/>
        <v>0</v>
      </c>
      <c r="X26" s="208">
        <f t="shared" si="42"/>
        <v>5294</v>
      </c>
      <c r="Y26" s="171" t="str">
        <f t="shared" si="43"/>
        <v>SUCCESS</v>
      </c>
      <c r="Z26" s="171" t="str">
        <f t="shared" si="44"/>
        <v>SUCCESS</v>
      </c>
      <c r="AA26" s="185">
        <f t="shared" si="45"/>
        <v>146.24763867422291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504</v>
      </c>
      <c r="B27" s="113">
        <f t="shared" si="28"/>
        <v>9020</v>
      </c>
      <c r="C27" s="118">
        <f t="shared" si="29"/>
        <v>61.089999999999996</v>
      </c>
      <c r="D27" s="181" t="s">
        <v>6</v>
      </c>
      <c r="E27" s="182">
        <f>IF(H26="AFIII",VLOOKUP($D27,Sheet1!$A$34:$K$48,5,FALSE),IF(H26="UBIII",VLOOKUP($D27,Sheet1!$A$34:$K$48,8,FALSE),VLOOKUP($D27,Sheet1!$A$34:$K$48,2,FALSE)))</f>
        <v>2.86</v>
      </c>
      <c r="F27" s="182">
        <f>ROUNDDOWN((IF(H26="AFIII",VLOOKUP($D27,Sheet1!$A$34:$K$48,5,FALSE),IF(H26="UBIII",VLOOKUP($D27,Sheet1!$A$34:$K$48,8,FALSE),VLOOKUP($D27,Sheet1!$A$34:$K$48,2,FALSE))))*0.85,2)</f>
        <v>2.4300000000000002</v>
      </c>
      <c r="G27" s="182">
        <f t="shared" si="46"/>
        <v>2.86</v>
      </c>
      <c r="H27" s="183" t="s">
        <v>84</v>
      </c>
      <c r="I27" s="182">
        <f>I26-G27</f>
        <v>7.1400000000000006</v>
      </c>
      <c r="K27" s="182">
        <f t="shared" si="49"/>
        <v>11.64</v>
      </c>
      <c r="L27" s="182">
        <f t="shared" si="31"/>
        <v>47.06</v>
      </c>
      <c r="O27" s="182">
        <f t="shared" si="50"/>
        <v>36.14</v>
      </c>
      <c r="Q27" s="182">
        <f t="shared" si="48"/>
        <v>4.7800000000000011</v>
      </c>
      <c r="R27" s="182">
        <f t="shared" si="34"/>
        <v>22.78</v>
      </c>
      <c r="V27" s="201">
        <f>IF(H26="AFIII",VLOOKUP(D27,Sheet1!$A$4:$H$18,5,FALSE),IF(H26="UBIII",VLOOKUP(D27,Sheet1!$A$4:$H$18,8,FALSE),IF(H26="",VLOOKUP(D27,Sheet1!$A$4:$H$18,2,FALSE),"0")))</f>
        <v>1768</v>
      </c>
      <c r="W27" s="201">
        <f t="shared" si="41"/>
        <v>0</v>
      </c>
      <c r="X27" s="208">
        <f t="shared" si="42"/>
        <v>3526</v>
      </c>
      <c r="Y27" s="171" t="str">
        <f t="shared" si="43"/>
        <v>SUCCESS</v>
      </c>
      <c r="Z27" s="171" t="str">
        <f t="shared" si="44"/>
        <v>SUCCESS</v>
      </c>
      <c r="AA27" s="185">
        <f t="shared" si="45"/>
        <v>147.65100671140939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si="28"/>
        <v>9524</v>
      </c>
      <c r="C28" s="118">
        <f t="shared" si="29"/>
        <v>63.949999999999996</v>
      </c>
      <c r="D28" s="181" t="s">
        <v>6</v>
      </c>
      <c r="E28" s="182">
        <f>IF(H27="AFIII",VLOOKUP($D28,Sheet1!$A$34:$K$48,5,FALSE),IF(H27="UBIII",VLOOKUP($D28,Sheet1!$A$34:$K$48,8,FALSE),VLOOKUP($D28,Sheet1!$A$34:$K$48,2,FALSE)))</f>
        <v>2.86</v>
      </c>
      <c r="F28" s="182">
        <f>ROUNDDOWN((IF(H27="AFIII",VLOOKUP($D28,Sheet1!$A$34:$K$48,5,FALSE),IF(H27="UBIII",VLOOKUP($D28,Sheet1!$A$34:$K$48,8,FALSE),VLOOKUP($D28,Sheet1!$A$34:$K$48,2,FALSE))))*0.85,2)</f>
        <v>2.4300000000000002</v>
      </c>
      <c r="G28" s="182">
        <f t="shared" si="46"/>
        <v>2.86</v>
      </c>
      <c r="H28" s="183" t="s">
        <v>84</v>
      </c>
      <c r="I28" s="182">
        <f>I27-G28</f>
        <v>4.2800000000000011</v>
      </c>
      <c r="K28" s="182">
        <f t="shared" si="49"/>
        <v>8.7800000000000011</v>
      </c>
      <c r="L28" s="182">
        <f t="shared" si="31"/>
        <v>44.2</v>
      </c>
      <c r="O28" s="182">
        <f t="shared" si="50"/>
        <v>33.28</v>
      </c>
      <c r="Q28" s="182">
        <f t="shared" si="48"/>
        <v>1.9200000000000013</v>
      </c>
      <c r="R28" s="182">
        <f t="shared" si="34"/>
        <v>19.920000000000002</v>
      </c>
      <c r="V28" s="201">
        <f>IF(H27="AFIII",VLOOKUP(D28,Sheet1!$A$4:$H$18,5,FALSE),IF(H27="UBIII",VLOOKUP(D28,Sheet1!$A$4:$H$18,8,FALSE),IF(H27="",VLOOKUP(D28,Sheet1!$A$4:$H$18,2,FALSE),"0")))</f>
        <v>1768</v>
      </c>
      <c r="W28" s="201">
        <f t="shared" si="41"/>
        <v>0</v>
      </c>
      <c r="X28" s="208">
        <f t="shared" si="42"/>
        <v>1758</v>
      </c>
      <c r="Y28" s="171" t="str">
        <f t="shared" si="43"/>
        <v>SUCCESS</v>
      </c>
      <c r="Z28" s="171" t="str">
        <f t="shared" si="44"/>
        <v>SUCCESS</v>
      </c>
      <c r="AA28" s="185">
        <f t="shared" si="45"/>
        <v>148.92885066458172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168</v>
      </c>
      <c r="B29" s="113">
        <f t="shared" si="28"/>
        <v>9692</v>
      </c>
      <c r="C29" s="118">
        <f t="shared" si="29"/>
        <v>66.339999999999989</v>
      </c>
      <c r="D29" s="181" t="s">
        <v>12</v>
      </c>
      <c r="E29" s="182">
        <f>IF(H28="AFIII",VLOOKUP($D29,Sheet1!$A$34:$K$48,5,FALSE),IF(H28="UBIII",VLOOKUP($D29,Sheet1!$A$34:$K$48,8,FALSE),VLOOKUP($D29,Sheet1!$A$34:$K$48,2,FALSE)))</f>
        <v>1.67</v>
      </c>
      <c r="F29" s="182">
        <f>ROUNDDOWN((IF(H28="AFIII",VLOOKUP($D29,Sheet1!$A$34:$K$48,5,FALSE),IF(H28="UBIII",VLOOKUP($D29,Sheet1!$A$34:$K$48,8,FALSE),VLOOKUP($D29,Sheet1!$A$34:$K$48,2,FALSE))))*0.85,2)</f>
        <v>1.41</v>
      </c>
      <c r="G29" s="182">
        <f t="shared" si="46"/>
        <v>2.39</v>
      </c>
      <c r="H29" s="183" t="s">
        <v>122</v>
      </c>
      <c r="I29" s="182">
        <v>10</v>
      </c>
      <c r="K29" s="182">
        <f t="shared" si="49"/>
        <v>6.3900000000000006</v>
      </c>
      <c r="L29" s="182">
        <f t="shared" si="31"/>
        <v>41.81</v>
      </c>
      <c r="O29" s="182">
        <f t="shared" si="50"/>
        <v>30.89</v>
      </c>
      <c r="Q29" s="182">
        <f t="shared" si="48"/>
        <v>-0.46999999999999886</v>
      </c>
      <c r="R29" s="182">
        <f t="shared" si="34"/>
        <v>17.53</v>
      </c>
      <c r="S29" s="183" t="s">
        <v>52</v>
      </c>
      <c r="T29" s="182">
        <v>30</v>
      </c>
      <c r="U29" s="184">
        <v>90</v>
      </c>
      <c r="V29" s="201">
        <f>IF(H28="AFIII",VLOOKUP(D29,Sheet1!$A$4:$H$18,5,FALSE),IF(H28="UBIII",VLOOKUP(D29,Sheet1!$A$4:$H$18,8,FALSE),IF(H28="",VLOOKUP(D29,Sheet1!$A$4:$H$18,2,FALSE),"0")))</f>
        <v>265</v>
      </c>
      <c r="W29" s="201">
        <f t="shared" si="41"/>
        <v>0</v>
      </c>
      <c r="X29" s="208">
        <f t="shared" si="42"/>
        <v>1493</v>
      </c>
      <c r="Y29" s="171" t="str">
        <f t="shared" si="43"/>
        <v>SUCCESS</v>
      </c>
      <c r="Z29" s="171" t="str">
        <f t="shared" si="44"/>
        <v>SUCCESS</v>
      </c>
      <c r="AA29" s="185">
        <f t="shared" si="45"/>
        <v>146.095869761833</v>
      </c>
    </row>
    <row r="30" spans="1:27">
      <c r="A30" s="112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295</v>
      </c>
      <c r="B30" s="113">
        <f t="shared" si="28"/>
        <v>9987</v>
      </c>
      <c r="C30" s="118">
        <f t="shared" si="29"/>
        <v>68.77</v>
      </c>
      <c r="D30" s="181" t="s">
        <v>19</v>
      </c>
      <c r="E30" s="182">
        <f>IF(H29="AFIII",VLOOKUP($D30,Sheet1!$A$34:$K$48,5,FALSE),IF(H29="UBIII",VLOOKUP($D30,Sheet1!$A$34:$K$48,8,FALSE),VLOOKUP($D30,Sheet1!$A$34:$K$48,2,FALSE)))</f>
        <v>2.86</v>
      </c>
      <c r="F30" s="182">
        <f>ROUNDDOWN((IF(H29="AFIII",VLOOKUP($D30,Sheet1!$A$34:$K$48,5,FALSE),IF(H29="UBIII",VLOOKUP($D30,Sheet1!$A$34:$K$48,8,FALSE),VLOOKUP($D30,Sheet1!$A$34:$K$48,2,FALSE))))*0.85,2)</f>
        <v>2.4300000000000002</v>
      </c>
      <c r="G30" s="182">
        <f t="shared" si="46"/>
        <v>2.4300000000000002</v>
      </c>
      <c r="H30" s="183" t="s">
        <v>122</v>
      </c>
      <c r="I30" s="182">
        <f>I29-G30</f>
        <v>7.57</v>
      </c>
      <c r="K30" s="182">
        <f t="shared" si="49"/>
        <v>3.9600000000000004</v>
      </c>
      <c r="L30" s="182">
        <f t="shared" si="31"/>
        <v>39.380000000000003</v>
      </c>
      <c r="O30" s="182">
        <f t="shared" si="50"/>
        <v>28.46</v>
      </c>
      <c r="Q30" s="182">
        <f t="shared" si="48"/>
        <v>-2.899999999999999</v>
      </c>
      <c r="R30" s="182">
        <f t="shared" si="34"/>
        <v>15.100000000000001</v>
      </c>
      <c r="S30" s="183" t="s">
        <v>87</v>
      </c>
      <c r="T30" s="182">
        <f t="shared" ref="T30:T43" si="51">T29-G30</f>
        <v>27.57</v>
      </c>
      <c r="U30" s="184">
        <f t="shared" ref="U30:U45" si="52">U29-G30</f>
        <v>87.57</v>
      </c>
      <c r="V30" s="201">
        <f>IF(H29="AFIII",VLOOKUP(D30,Sheet1!$A$4:$H$18,5,FALSE),IF(H29="UBIII",VLOOKUP(D30,Sheet1!$A$4:$H$18,8,FALSE),IF(H29="",VLOOKUP(D30,Sheet1!$A$4:$H$18,2,FALSE),"0")))</f>
        <v>1060</v>
      </c>
      <c r="W30" s="201">
        <f t="shared" si="41"/>
        <v>7033</v>
      </c>
      <c r="X30" s="208">
        <f t="shared" si="42"/>
        <v>7466</v>
      </c>
      <c r="Y30" s="171" t="str">
        <f t="shared" si="43"/>
        <v>SUCCESS</v>
      </c>
      <c r="Z30" s="171" t="str">
        <f t="shared" si="44"/>
        <v>SUCCESS</v>
      </c>
      <c r="AA30" s="185">
        <f t="shared" si="45"/>
        <v>145.22320779409628</v>
      </c>
    </row>
    <row r="31" spans="1:27">
      <c r="A31" s="119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280</v>
      </c>
      <c r="B31" s="120">
        <f t="shared" si="28"/>
        <v>10267</v>
      </c>
      <c r="C31" s="121">
        <f t="shared" si="29"/>
        <v>71.2</v>
      </c>
      <c r="D31" s="191" t="s">
        <v>14</v>
      </c>
      <c r="E31" s="192">
        <f>IF(H30="AFIII",VLOOKUP($D31,Sheet1!$A$34:$K$48,5,FALSE),IF(H30="UBIII",VLOOKUP($D31,Sheet1!$A$34:$K$48,8,FALSE),VLOOKUP($D31,Sheet1!$A$34:$K$48,2,FALSE)))</f>
        <v>2.86</v>
      </c>
      <c r="F31" s="192">
        <f>ROUNDDOWN((IF(H30="AFIII",VLOOKUP($D31,Sheet1!$A$34:$K$48,5,FALSE),IF(H30="UBIII",VLOOKUP($D31,Sheet1!$A$34:$K$48,8,FALSE),VLOOKUP($D31,Sheet1!$A$34:$K$48,2,FALSE))))*0.85,2)</f>
        <v>2.4300000000000002</v>
      </c>
      <c r="G31" s="192">
        <f t="shared" si="46"/>
        <v>2.4300000000000002</v>
      </c>
      <c r="H31" s="193" t="s">
        <v>122</v>
      </c>
      <c r="I31" s="192">
        <f>I30-G31</f>
        <v>5.1400000000000006</v>
      </c>
      <c r="J31" s="193"/>
      <c r="K31" s="192">
        <v>20</v>
      </c>
      <c r="L31" s="192">
        <f t="shared" si="31"/>
        <v>36.950000000000003</v>
      </c>
      <c r="M31" s="193"/>
      <c r="N31" s="192"/>
      <c r="O31" s="192">
        <f t="shared" si="50"/>
        <v>26.03</v>
      </c>
      <c r="P31" s="193"/>
      <c r="Q31" s="192"/>
      <c r="R31" s="192">
        <f t="shared" si="34"/>
        <v>12.670000000000002</v>
      </c>
      <c r="S31" s="193" t="s">
        <v>87</v>
      </c>
      <c r="T31" s="192">
        <f t="shared" si="51"/>
        <v>25.14</v>
      </c>
      <c r="U31" s="194">
        <f t="shared" si="52"/>
        <v>85.139999999999986</v>
      </c>
      <c r="V31" s="211">
        <f>IF(H30="AFIII",VLOOKUP(D31,Sheet1!$A$4:$H$18,5,FALSE),IF(H30="UBIII",VLOOKUP(D31,Sheet1!$A$4:$H$18,8,FALSE),IF(H30="",VLOOKUP(D31,Sheet1!$A$4:$H$18,2,FALSE),"0")))</f>
        <v>884</v>
      </c>
      <c r="W31" s="211">
        <f t="shared" si="41"/>
        <v>7033</v>
      </c>
      <c r="X31" s="212">
        <f t="shared" si="42"/>
        <v>10508</v>
      </c>
      <c r="Y31" s="195" t="str">
        <f t="shared" si="43"/>
        <v>SUCCESS</v>
      </c>
      <c r="Z31" s="195" t="str">
        <f t="shared" si="44"/>
        <v>SUCCESS</v>
      </c>
      <c r="AA31" s="185">
        <f t="shared" si="45"/>
        <v>144.19943820224719</v>
      </c>
    </row>
    <row r="32" spans="1:27">
      <c r="A32" s="11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168</v>
      </c>
      <c r="B32" s="113">
        <f t="shared" si="28"/>
        <v>10435</v>
      </c>
      <c r="C32" s="118">
        <f t="shared" si="29"/>
        <v>73.23</v>
      </c>
      <c r="D32" s="181" t="s">
        <v>3</v>
      </c>
      <c r="E32" s="182">
        <f>IF(H31="AFIII",VLOOKUP($D32,Sheet1!$A$34:$K$48,5,FALSE),IF(H31="UBIII",VLOOKUP($D32,Sheet1!$A$34:$K$48,8,FALSE),VLOOKUP($D32,Sheet1!$A$34:$K$48,2,FALSE)))</f>
        <v>1.67</v>
      </c>
      <c r="F32" s="182">
        <f>ROUNDDOWN((IF(H31="AFIII",VLOOKUP($D32,Sheet1!$A$34:$K$48,5,FALSE),IF(H31="UBIII",VLOOKUP($D32,Sheet1!$A$34:$K$48,8,FALSE),VLOOKUP($D32,Sheet1!$A$34:$K$48,2,FALSE))))*0.85,2)</f>
        <v>1.41</v>
      </c>
      <c r="G32" s="182">
        <f t="shared" si="46"/>
        <v>2.0299999999999998</v>
      </c>
      <c r="H32" s="183" t="s">
        <v>84</v>
      </c>
      <c r="I32" s="182">
        <v>10</v>
      </c>
      <c r="K32" s="182">
        <f>K31-G32</f>
        <v>17.97</v>
      </c>
      <c r="L32" s="182">
        <f t="shared" si="31"/>
        <v>34.92</v>
      </c>
      <c r="O32" s="182">
        <f>O31-G32</f>
        <v>24</v>
      </c>
      <c r="R32" s="182">
        <f t="shared" si="34"/>
        <v>10.640000000000002</v>
      </c>
      <c r="S32" s="183" t="s">
        <v>87</v>
      </c>
      <c r="T32" s="182">
        <f t="shared" si="51"/>
        <v>23.11</v>
      </c>
      <c r="U32" s="184">
        <f t="shared" si="52"/>
        <v>83.109999999999985</v>
      </c>
      <c r="V32" s="201">
        <f>IF(H31="AFIII",VLOOKUP(D32,Sheet1!$A$4:$H$18,5,FALSE),IF(H31="UBIII",VLOOKUP(D32,Sheet1!$A$4:$H$18,8,FALSE),IF(H31="",VLOOKUP(D32,Sheet1!$A$4:$H$18,2,FALSE),"0")))</f>
        <v>442</v>
      </c>
      <c r="W32" s="201">
        <f t="shared" si="41"/>
        <v>7033</v>
      </c>
      <c r="X32" s="208">
        <f t="shared" si="42"/>
        <v>10950</v>
      </c>
      <c r="Y32" s="171" t="str">
        <f t="shared" si="43"/>
        <v>SUCCESS</v>
      </c>
      <c r="Z32" s="171" t="str">
        <f t="shared" si="44"/>
        <v>SUCCESS</v>
      </c>
      <c r="AA32" s="185">
        <f t="shared" si="45"/>
        <v>142.49624470845282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504</v>
      </c>
      <c r="B33" s="113">
        <f t="shared" si="28"/>
        <v>10939</v>
      </c>
      <c r="C33" s="118">
        <f t="shared" si="29"/>
        <v>75.660000000000011</v>
      </c>
      <c r="D33" s="181" t="s">
        <v>5</v>
      </c>
      <c r="E33" s="182">
        <f>IF(H32="AFIII",VLOOKUP($D33,Sheet1!$A$34:$K$48,5,FALSE),IF(H32="UBIII",VLOOKUP($D33,Sheet1!$A$34:$K$48,8,FALSE),VLOOKUP($D33,Sheet1!$A$34:$K$48,2,FALSE)))</f>
        <v>2.86</v>
      </c>
      <c r="F33" s="182">
        <f>ROUNDDOWN((IF(H32="AFIII",VLOOKUP($D33,Sheet1!$A$34:$K$48,5,FALSE),IF(H32="UBIII",VLOOKUP($D33,Sheet1!$A$34:$K$48,8,FALSE),VLOOKUP($D33,Sheet1!$A$34:$K$48,2,FALSE))))*0.85,2)</f>
        <v>2.4300000000000002</v>
      </c>
      <c r="G33" s="182">
        <f t="shared" si="46"/>
        <v>2.4300000000000002</v>
      </c>
      <c r="H33" s="183" t="s">
        <v>84</v>
      </c>
      <c r="I33" s="182">
        <f>I32-G33</f>
        <v>7.57</v>
      </c>
      <c r="K33" s="182">
        <f t="shared" ref="K33:K38" si="53">K32-G33</f>
        <v>15.54</v>
      </c>
      <c r="L33" s="182">
        <f t="shared" si="31"/>
        <v>32.49</v>
      </c>
      <c r="O33" s="182">
        <f t="shared" ref="O33:O37" si="54">O32-G33</f>
        <v>21.57</v>
      </c>
      <c r="R33" s="182">
        <f t="shared" si="34"/>
        <v>8.2100000000000026</v>
      </c>
      <c r="S33" s="183" t="s">
        <v>87</v>
      </c>
      <c r="T33" s="182">
        <f t="shared" si="51"/>
        <v>20.68</v>
      </c>
      <c r="U33" s="184">
        <f t="shared" si="52"/>
        <v>80.679999999999978</v>
      </c>
      <c r="V33" s="201">
        <f>IF(H32="AFIII",VLOOKUP(D33,Sheet1!$A$4:$H$18,5,FALSE),IF(H32="UBIII",VLOOKUP(D33,Sheet1!$A$4:$H$18,8,FALSE),IF(H32="",VLOOKUP(D33,Sheet1!$A$4:$H$18,2,FALSE),"0")))</f>
        <v>1768</v>
      </c>
      <c r="W33" s="201">
        <f t="shared" si="41"/>
        <v>0</v>
      </c>
      <c r="X33" s="208">
        <f t="shared" si="42"/>
        <v>9182</v>
      </c>
      <c r="Y33" s="171" t="str">
        <f t="shared" si="43"/>
        <v>SUCCESS</v>
      </c>
      <c r="Z33" s="171" t="str">
        <f t="shared" si="44"/>
        <v>SUCCESS</v>
      </c>
      <c r="AA33" s="185">
        <f t="shared" si="45"/>
        <v>144.58102035421621</v>
      </c>
    </row>
    <row r="34" spans="1:27">
      <c r="A34" s="11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504</v>
      </c>
      <c r="B34" s="113">
        <f t="shared" si="28"/>
        <v>11443</v>
      </c>
      <c r="C34" s="118">
        <f t="shared" si="29"/>
        <v>78.090000000000018</v>
      </c>
      <c r="D34" s="181" t="s">
        <v>5</v>
      </c>
      <c r="E34" s="182">
        <f>IF(H33="AFIII",VLOOKUP($D34,Sheet1!$A$34:$K$48,5,FALSE),IF(H33="UBIII",VLOOKUP($D34,Sheet1!$A$34:$K$48,8,FALSE),VLOOKUP($D34,Sheet1!$A$34:$K$48,2,FALSE)))</f>
        <v>2.86</v>
      </c>
      <c r="F34" s="182">
        <f>ROUNDDOWN((IF(H33="AFIII",VLOOKUP($D34,Sheet1!$A$34:$K$48,5,FALSE),IF(H33="UBIII",VLOOKUP($D34,Sheet1!$A$34:$K$48,8,FALSE),VLOOKUP($D34,Sheet1!$A$34:$K$48,2,FALSE))))*0.85,2)</f>
        <v>2.4300000000000002</v>
      </c>
      <c r="G34" s="182">
        <f t="shared" si="46"/>
        <v>2.4300000000000002</v>
      </c>
      <c r="H34" s="183" t="s">
        <v>84</v>
      </c>
      <c r="I34" s="182">
        <f t="shared" ref="I34" si="55">I33-G34</f>
        <v>5.1400000000000006</v>
      </c>
      <c r="K34" s="182">
        <f t="shared" si="53"/>
        <v>13.11</v>
      </c>
      <c r="L34" s="182">
        <f t="shared" si="31"/>
        <v>30.060000000000002</v>
      </c>
      <c r="O34" s="182">
        <f t="shared" si="54"/>
        <v>19.14</v>
      </c>
      <c r="R34" s="182">
        <f t="shared" si="34"/>
        <v>5.7800000000000029</v>
      </c>
      <c r="S34" s="183" t="s">
        <v>87</v>
      </c>
      <c r="T34" s="182">
        <f t="shared" si="51"/>
        <v>18.25</v>
      </c>
      <c r="U34" s="184">
        <f t="shared" si="52"/>
        <v>78.249999999999972</v>
      </c>
      <c r="V34" s="201">
        <f>IF(H33="AFIII",VLOOKUP(D34,Sheet1!$A$4:$H$18,5,FALSE),IF(H33="UBIII",VLOOKUP(D34,Sheet1!$A$4:$H$18,8,FALSE),IF(H33="",VLOOKUP(D34,Sheet1!$A$4:$H$18,2,FALSE),"0")))</f>
        <v>1768</v>
      </c>
      <c r="W34" s="201">
        <f t="shared" si="41"/>
        <v>0</v>
      </c>
      <c r="X34" s="208">
        <f t="shared" si="42"/>
        <v>7414</v>
      </c>
      <c r="Y34" s="171" t="str">
        <f t="shared" si="43"/>
        <v>SUCCESS</v>
      </c>
      <c r="Z34" s="171" t="str">
        <f t="shared" si="44"/>
        <v>SUCCESS</v>
      </c>
      <c r="AA34" s="185">
        <f t="shared" si="45"/>
        <v>146.53604814957097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324</v>
      </c>
      <c r="B35" s="113">
        <f t="shared" si="28"/>
        <v>11767</v>
      </c>
      <c r="C35" s="118">
        <f t="shared" si="29"/>
        <v>80.120000000000019</v>
      </c>
      <c r="D35" s="181" t="s">
        <v>1</v>
      </c>
      <c r="E35" s="182">
        <f>IF(H34="AFIII",VLOOKUP($D35,Sheet1!$A$34:$K$48,5,FALSE),IF(H34="UBIII",VLOOKUP($D35,Sheet1!$A$34:$K$48,8,FALSE),VLOOKUP($D35,Sheet1!$A$34:$K$48,2,FALSE)))</f>
        <v>2.39</v>
      </c>
      <c r="F35" s="182">
        <f>ROUNDDOWN((IF(H34="AFIII",VLOOKUP($D35,Sheet1!$A$34:$K$48,5,FALSE),IF(H34="UBIII",VLOOKUP($D35,Sheet1!$A$34:$K$48,8,FALSE),VLOOKUP($D35,Sheet1!$A$34:$K$48,2,FALSE))))*0.85,2)</f>
        <v>2.0299999999999998</v>
      </c>
      <c r="G35" s="182">
        <f t="shared" si="46"/>
        <v>2.0299999999999998</v>
      </c>
      <c r="H35" s="183" t="s">
        <v>84</v>
      </c>
      <c r="I35" s="182">
        <v>10</v>
      </c>
      <c r="K35" s="182">
        <f t="shared" si="53"/>
        <v>11.08</v>
      </c>
      <c r="L35" s="182">
        <f t="shared" si="31"/>
        <v>28.03</v>
      </c>
      <c r="O35" s="182">
        <f t="shared" si="54"/>
        <v>17.11</v>
      </c>
      <c r="R35" s="182">
        <f>R34-G35</f>
        <v>3.7500000000000031</v>
      </c>
      <c r="S35" s="183" t="s">
        <v>87</v>
      </c>
      <c r="T35" s="182">
        <f t="shared" si="51"/>
        <v>16.22</v>
      </c>
      <c r="U35" s="184">
        <f t="shared" si="52"/>
        <v>76.21999999999997</v>
      </c>
      <c r="V35" s="201">
        <f>IF(H34="AFIII",VLOOKUP(D35,Sheet1!$A$4:$H$18,5,FALSE),IF(H34="UBIII",VLOOKUP(D35,Sheet1!$A$4:$H$18,8,FALSE),IF(H34="",VLOOKUP(D35,Sheet1!$A$4:$H$18,2,FALSE),"0")))</f>
        <v>2120</v>
      </c>
      <c r="W35" s="201">
        <f t="shared" si="41"/>
        <v>0</v>
      </c>
      <c r="X35" s="208">
        <f t="shared" si="42"/>
        <v>5294</v>
      </c>
      <c r="Y35" s="171" t="str">
        <f t="shared" si="43"/>
        <v>SUCCESS</v>
      </c>
      <c r="Z35" s="171" t="str">
        <f t="shared" si="44"/>
        <v>SUCCESS</v>
      </c>
      <c r="AA35" s="185">
        <f t="shared" si="45"/>
        <v>146.86719920119816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28"/>
        <v>12271</v>
      </c>
      <c r="C36" s="118">
        <f t="shared" si="29"/>
        <v>82.550000000000026</v>
      </c>
      <c r="D36" s="181" t="s">
        <v>6</v>
      </c>
      <c r="E36" s="182">
        <f>IF(H35="AFIII",VLOOKUP($D36,Sheet1!$A$34:$K$48,5,FALSE),IF(H35="UBIII",VLOOKUP($D36,Sheet1!$A$34:$K$48,8,FALSE),VLOOKUP($D36,Sheet1!$A$34:$K$48,2,FALSE)))</f>
        <v>2.86</v>
      </c>
      <c r="F36" s="182">
        <f>ROUNDDOWN((IF(H35="AFIII",VLOOKUP($D36,Sheet1!$A$34:$K$48,5,FALSE),IF(H35="UBIII",VLOOKUP($D36,Sheet1!$A$34:$K$48,8,FALSE),VLOOKUP($D36,Sheet1!$A$34:$K$48,2,FALSE))))*0.85,2)</f>
        <v>2.4300000000000002</v>
      </c>
      <c r="G36" s="182">
        <f t="shared" si="46"/>
        <v>2.4300000000000002</v>
      </c>
      <c r="H36" s="183" t="s">
        <v>84</v>
      </c>
      <c r="I36" s="182">
        <f>I35-G36</f>
        <v>7.57</v>
      </c>
      <c r="K36" s="182">
        <f t="shared" si="53"/>
        <v>8.65</v>
      </c>
      <c r="L36" s="182">
        <f t="shared" si="31"/>
        <v>25.6</v>
      </c>
      <c r="O36" s="182">
        <f t="shared" si="54"/>
        <v>14.68</v>
      </c>
      <c r="R36" s="182">
        <f t="shared" ref="R36:R40" si="56">R35-G36</f>
        <v>1.3200000000000029</v>
      </c>
      <c r="S36" s="183" t="s">
        <v>87</v>
      </c>
      <c r="T36" s="182">
        <f t="shared" si="51"/>
        <v>13.79</v>
      </c>
      <c r="U36" s="184">
        <f t="shared" si="52"/>
        <v>73.789999999999964</v>
      </c>
      <c r="V36" s="201">
        <f>IF(H35="AFIII",VLOOKUP(D36,Sheet1!$A$4:$H$18,5,FALSE),IF(H35="UBIII",VLOOKUP(D36,Sheet1!$A$4:$H$18,8,FALSE),IF(H35="",VLOOKUP(D36,Sheet1!$A$4:$H$18,2,FALSE),"0")))</f>
        <v>1768</v>
      </c>
      <c r="W36" s="201">
        <f t="shared" si="41"/>
        <v>0</v>
      </c>
      <c r="X36" s="208">
        <f t="shared" si="42"/>
        <v>3526</v>
      </c>
      <c r="Y36" s="171" t="str">
        <f t="shared" si="43"/>
        <v>SUCCESS</v>
      </c>
      <c r="Z36" s="171" t="str">
        <f t="shared" si="44"/>
        <v>SUCCESS</v>
      </c>
      <c r="AA36" s="185">
        <f t="shared" si="45"/>
        <v>148.64930345245301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504</v>
      </c>
      <c r="B37" s="113">
        <f t="shared" si="28"/>
        <v>12775</v>
      </c>
      <c r="C37" s="118">
        <f t="shared" si="29"/>
        <v>84.980000000000032</v>
      </c>
      <c r="D37" s="181" t="s">
        <v>6</v>
      </c>
      <c r="E37" s="182">
        <f>IF(H36="AFIII",VLOOKUP($D37,Sheet1!$A$34:$K$48,5,FALSE),IF(H36="UBIII",VLOOKUP($D37,Sheet1!$A$34:$K$48,8,FALSE),VLOOKUP($D37,Sheet1!$A$34:$K$48,2,FALSE)))</f>
        <v>2.86</v>
      </c>
      <c r="F37" s="182">
        <f>ROUNDDOWN((IF(H36="AFIII",VLOOKUP($D37,Sheet1!$A$34:$K$48,5,FALSE),IF(H36="UBIII",VLOOKUP($D37,Sheet1!$A$34:$K$48,8,FALSE),VLOOKUP($D37,Sheet1!$A$34:$K$48,2,FALSE))))*0.85,2)</f>
        <v>2.4300000000000002</v>
      </c>
      <c r="G37" s="182">
        <f t="shared" si="46"/>
        <v>2.4300000000000002</v>
      </c>
      <c r="H37" s="183" t="s">
        <v>84</v>
      </c>
      <c r="I37" s="182">
        <f>I36-G37</f>
        <v>5.1400000000000006</v>
      </c>
      <c r="K37" s="182">
        <f t="shared" si="53"/>
        <v>6.2200000000000006</v>
      </c>
      <c r="L37" s="182">
        <f t="shared" si="31"/>
        <v>23.17</v>
      </c>
      <c r="O37" s="182">
        <f t="shared" si="54"/>
        <v>12.25</v>
      </c>
      <c r="R37" s="182">
        <f t="shared" si="56"/>
        <v>-1.1099999999999972</v>
      </c>
      <c r="S37" s="183" t="s">
        <v>87</v>
      </c>
      <c r="T37" s="182">
        <f t="shared" si="51"/>
        <v>11.36</v>
      </c>
      <c r="U37" s="184">
        <f t="shared" si="52"/>
        <v>71.359999999999957</v>
      </c>
      <c r="V37" s="201">
        <f>IF(H36="AFIII",VLOOKUP(D37,Sheet1!$A$4:$H$18,5,FALSE),IF(H36="UBIII",VLOOKUP(D37,Sheet1!$A$4:$H$18,8,FALSE),IF(H36="",VLOOKUP(D37,Sheet1!$A$4:$H$18,2,FALSE),"0")))</f>
        <v>1768</v>
      </c>
      <c r="W37" s="201">
        <f t="shared" si="41"/>
        <v>0</v>
      </c>
      <c r="X37" s="208">
        <f t="shared" si="42"/>
        <v>1758</v>
      </c>
      <c r="Y37" s="171" t="str">
        <f t="shared" si="43"/>
        <v>SUCCESS</v>
      </c>
      <c r="Z37" s="171" t="str">
        <f t="shared" si="44"/>
        <v>SUCCESS</v>
      </c>
      <c r="AA37" s="185">
        <f t="shared" si="45"/>
        <v>150.32948929159795</v>
      </c>
    </row>
    <row r="38" spans="1:27">
      <c r="A38" s="112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168</v>
      </c>
      <c r="B38" s="113">
        <f t="shared" si="28"/>
        <v>12943</v>
      </c>
      <c r="C38" s="118">
        <f t="shared" si="29"/>
        <v>87.010000000000034</v>
      </c>
      <c r="D38" s="181" t="s">
        <v>12</v>
      </c>
      <c r="E38" s="182">
        <f>IF(H37="AFIII",VLOOKUP($D38,Sheet1!$A$34:$K$48,5,FALSE),IF(H37="UBIII",VLOOKUP($D38,Sheet1!$A$34:$K$48,8,FALSE),VLOOKUP($D38,Sheet1!$A$34:$K$48,2,FALSE)))</f>
        <v>1.67</v>
      </c>
      <c r="F38" s="182">
        <f>ROUNDDOWN((IF(H37="AFIII",VLOOKUP($D38,Sheet1!$A$34:$K$48,5,FALSE),IF(H37="UBIII",VLOOKUP($D38,Sheet1!$A$34:$K$48,8,FALSE),VLOOKUP($D38,Sheet1!$A$34:$K$48,2,FALSE))))*0.85,2)</f>
        <v>1.41</v>
      </c>
      <c r="G38" s="182">
        <f t="shared" si="46"/>
        <v>2.0299999999999998</v>
      </c>
      <c r="H38" s="183" t="s">
        <v>122</v>
      </c>
      <c r="I38" s="182">
        <v>10</v>
      </c>
      <c r="K38" s="182">
        <f t="shared" si="53"/>
        <v>4.1900000000000013</v>
      </c>
      <c r="L38" s="182">
        <f t="shared" si="31"/>
        <v>21.14</v>
      </c>
      <c r="O38" s="182">
        <f>O37-G38</f>
        <v>10.220000000000001</v>
      </c>
      <c r="R38" s="182">
        <f t="shared" si="56"/>
        <v>-3.139999999999997</v>
      </c>
      <c r="S38" s="183" t="s">
        <v>87</v>
      </c>
      <c r="T38" s="182">
        <f t="shared" si="51"/>
        <v>9.33</v>
      </c>
      <c r="U38" s="184">
        <f t="shared" si="52"/>
        <v>69.329999999999956</v>
      </c>
      <c r="V38" s="201">
        <f>IF(H37="AFIII",VLOOKUP(D38,Sheet1!$A$4:$H$18,5,FALSE),IF(H37="UBIII",VLOOKUP(D38,Sheet1!$A$4:$H$18,8,FALSE),IF(H37="",VLOOKUP(D38,Sheet1!$A$4:$H$18,2,FALSE),"0")))</f>
        <v>265</v>
      </c>
      <c r="W38" s="201">
        <f t="shared" si="41"/>
        <v>0</v>
      </c>
      <c r="X38" s="208">
        <f t="shared" si="42"/>
        <v>1493</v>
      </c>
      <c r="Y38" s="171" t="str">
        <f t="shared" si="43"/>
        <v>SUCCESS</v>
      </c>
      <c r="Z38" s="171" t="str">
        <f t="shared" si="44"/>
        <v>SUCCESS</v>
      </c>
      <c r="AA38" s="185">
        <f t="shared" si="45"/>
        <v>148.75301689460977</v>
      </c>
    </row>
    <row r="39" spans="1:27">
      <c r="A39" s="119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280</v>
      </c>
      <c r="B39" s="120">
        <f t="shared" si="28"/>
        <v>13223</v>
      </c>
      <c r="C39" s="121">
        <f t="shared" si="29"/>
        <v>89.44000000000004</v>
      </c>
      <c r="D39" s="191" t="s">
        <v>14</v>
      </c>
      <c r="E39" s="192">
        <f>IF(H38="AFIII",VLOOKUP($D39,Sheet1!$A$34:$K$48,5,FALSE),IF(H38="UBIII",VLOOKUP($D39,Sheet1!$A$34:$K$48,8,FALSE),VLOOKUP($D39,Sheet1!$A$34:$K$48,2,FALSE)))</f>
        <v>2.86</v>
      </c>
      <c r="F39" s="192">
        <f>ROUNDDOWN((IF(H38="AFIII",VLOOKUP($D39,Sheet1!$A$34:$K$48,5,FALSE),IF(H38="UBIII",VLOOKUP($D39,Sheet1!$A$34:$K$48,8,FALSE),VLOOKUP($D39,Sheet1!$A$34:$K$48,2,FALSE))))*0.85,2)</f>
        <v>2.4300000000000002</v>
      </c>
      <c r="G39" s="192">
        <f t="shared" si="46"/>
        <v>2.4300000000000002</v>
      </c>
      <c r="H39" s="193" t="s">
        <v>122</v>
      </c>
      <c r="I39" s="192">
        <f>I38-G39</f>
        <v>7.57</v>
      </c>
      <c r="J39" s="193"/>
      <c r="K39" s="192">
        <v>15</v>
      </c>
      <c r="L39" s="192">
        <f t="shared" si="31"/>
        <v>18.71</v>
      </c>
      <c r="M39" s="193"/>
      <c r="N39" s="192"/>
      <c r="O39" s="192">
        <f t="shared" ref="O39:O43" si="57">O38-G39</f>
        <v>7.7900000000000009</v>
      </c>
      <c r="P39" s="193"/>
      <c r="Q39" s="192"/>
      <c r="R39" s="192">
        <f t="shared" si="56"/>
        <v>-5.5699999999999967</v>
      </c>
      <c r="S39" s="193" t="s">
        <v>87</v>
      </c>
      <c r="T39" s="192">
        <f t="shared" si="51"/>
        <v>6.9</v>
      </c>
      <c r="U39" s="194">
        <f t="shared" si="52"/>
        <v>66.899999999999949</v>
      </c>
      <c r="V39" s="211">
        <f>IF(H38="AFIII",VLOOKUP(D39,Sheet1!$A$4:$H$18,5,FALSE),IF(H38="UBIII",VLOOKUP(D39,Sheet1!$A$4:$H$18,8,FALSE),IF(H38="",VLOOKUP(D39,Sheet1!$A$4:$H$18,2,FALSE),"0")))</f>
        <v>884</v>
      </c>
      <c r="W39" s="211">
        <f t="shared" si="41"/>
        <v>7033</v>
      </c>
      <c r="X39" s="212">
        <f t="shared" si="42"/>
        <v>7642</v>
      </c>
      <c r="Y39" s="195" t="str">
        <f t="shared" si="43"/>
        <v>SUCCESS</v>
      </c>
      <c r="Z39" s="195" t="str">
        <f t="shared" si="44"/>
        <v>SUCCESS</v>
      </c>
      <c r="AA39" s="185">
        <f t="shared" si="45"/>
        <v>147.84212880143107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168</v>
      </c>
      <c r="B40" s="113">
        <f t="shared" si="28"/>
        <v>13391</v>
      </c>
      <c r="C40" s="118">
        <f t="shared" si="29"/>
        <v>91.470000000000041</v>
      </c>
      <c r="D40" s="181" t="s">
        <v>4</v>
      </c>
      <c r="E40" s="182">
        <f>IF(H39="AFIII",VLOOKUP($D40,Sheet1!$A$34:$K$48,5,FALSE),IF(H39="UBIII",VLOOKUP($D40,Sheet1!$A$34:$K$48,8,FALSE),VLOOKUP($D40,Sheet1!$A$34:$K$48,2,FALSE)))</f>
        <v>1.67</v>
      </c>
      <c r="F40" s="182">
        <f>ROUNDDOWN((IF(H39="AFIII",VLOOKUP($D40,Sheet1!$A$34:$K$48,5,FALSE),IF(H39="UBIII",VLOOKUP($D40,Sheet1!$A$34:$K$48,8,FALSE),VLOOKUP($D40,Sheet1!$A$34:$K$48,2,FALSE))))*0.85,2)</f>
        <v>1.41</v>
      </c>
      <c r="G40" s="182">
        <f t="shared" si="46"/>
        <v>2.0299999999999998</v>
      </c>
      <c r="H40" s="183" t="s">
        <v>84</v>
      </c>
      <c r="I40" s="182">
        <v>10</v>
      </c>
      <c r="K40" s="182">
        <f t="shared" ref="K40:K45" si="58">K39-G40</f>
        <v>12.97</v>
      </c>
      <c r="L40" s="182">
        <f t="shared" si="31"/>
        <v>16.68</v>
      </c>
      <c r="O40" s="182">
        <f t="shared" si="57"/>
        <v>5.7600000000000016</v>
      </c>
      <c r="R40" s="182">
        <f t="shared" si="56"/>
        <v>-7.5999999999999961</v>
      </c>
      <c r="S40" s="183" t="s">
        <v>87</v>
      </c>
      <c r="T40" s="182">
        <f t="shared" si="51"/>
        <v>4.870000000000001</v>
      </c>
      <c r="U40" s="184">
        <f t="shared" si="52"/>
        <v>64.869999999999948</v>
      </c>
      <c r="V40" s="201">
        <f>IF(H39="AFIII",VLOOKUP(D40,Sheet1!$A$4:$H$18,5,FALSE),IF(H39="UBIII",VLOOKUP(D40,Sheet1!$A$4:$H$18,8,FALSE),IF(H39="",VLOOKUP(D40,Sheet1!$A$4:$H$18,2,FALSE),"0")))</f>
        <v>442</v>
      </c>
      <c r="W40" s="201">
        <f t="shared" si="41"/>
        <v>7033</v>
      </c>
      <c r="X40" s="208">
        <f t="shared" si="42"/>
        <v>10950</v>
      </c>
      <c r="Y40" s="171" t="str">
        <f t="shared" si="43"/>
        <v>SUCCESS</v>
      </c>
      <c r="Z40" s="171" t="str">
        <f t="shared" si="44"/>
        <v>SUCCESS</v>
      </c>
      <c r="AA40" s="185">
        <f t="shared" si="45"/>
        <v>146.39772603039242</v>
      </c>
    </row>
    <row r="41" spans="1:27">
      <c r="A41" s="112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504</v>
      </c>
      <c r="B41" s="113">
        <f t="shared" si="28"/>
        <v>13895</v>
      </c>
      <c r="C41" s="118">
        <f t="shared" si="29"/>
        <v>93.900000000000048</v>
      </c>
      <c r="D41" s="181" t="s">
        <v>6</v>
      </c>
      <c r="E41" s="182">
        <f>IF(H40="AFIII",VLOOKUP($D41,Sheet1!$A$34:$K$48,5,FALSE),IF(H40="UBIII",VLOOKUP($D41,Sheet1!$A$34:$K$48,8,FALSE),VLOOKUP($D41,Sheet1!$A$34:$K$48,2,FALSE)))</f>
        <v>2.86</v>
      </c>
      <c r="F41" s="182">
        <f>ROUNDDOWN((IF(H40="AFIII",VLOOKUP($D41,Sheet1!$A$34:$K$48,5,FALSE),IF(H40="UBIII",VLOOKUP($D41,Sheet1!$A$34:$K$48,8,FALSE),VLOOKUP($D41,Sheet1!$A$34:$K$48,2,FALSE))))*0.85,2)</f>
        <v>2.4300000000000002</v>
      </c>
      <c r="G41" s="182">
        <f t="shared" si="46"/>
        <v>2.4300000000000002</v>
      </c>
      <c r="H41" s="183" t="s">
        <v>84</v>
      </c>
      <c r="I41" s="182">
        <f>I40-G41</f>
        <v>7.57</v>
      </c>
      <c r="K41" s="182">
        <f t="shared" si="58"/>
        <v>10.540000000000001</v>
      </c>
      <c r="L41" s="182">
        <f t="shared" si="31"/>
        <v>14.25</v>
      </c>
      <c r="O41" s="182">
        <f t="shared" si="57"/>
        <v>3.3300000000000014</v>
      </c>
      <c r="P41" s="183" t="s">
        <v>136</v>
      </c>
      <c r="R41" s="182">
        <f>R40-G41</f>
        <v>-10.029999999999996</v>
      </c>
      <c r="S41" s="183" t="s">
        <v>52</v>
      </c>
      <c r="T41" s="182">
        <f t="shared" si="51"/>
        <v>2.4400000000000008</v>
      </c>
      <c r="U41" s="184">
        <f t="shared" si="52"/>
        <v>62.439999999999948</v>
      </c>
      <c r="V41" s="201">
        <f>IF(H40="AFIII",VLOOKUP(D41,Sheet1!$A$4:$H$18,5,FALSE),IF(H40="UBIII",VLOOKUP(D41,Sheet1!$A$4:$H$18,8,FALSE),IF(H40="",VLOOKUP(D41,Sheet1!$A$4:$H$18,2,FALSE),"0")))</f>
        <v>1768</v>
      </c>
      <c r="W41" s="201">
        <f t="shared" si="41"/>
        <v>0</v>
      </c>
      <c r="X41" s="208">
        <f t="shared" si="42"/>
        <v>9182</v>
      </c>
      <c r="Y41" s="171" t="str">
        <f t="shared" si="43"/>
        <v>SUCCESS</v>
      </c>
      <c r="Z41" s="171" t="str">
        <f t="shared" si="44"/>
        <v>SUCCESS</v>
      </c>
      <c r="AA41" s="185">
        <f t="shared" si="45"/>
        <v>147.97657082002124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504</v>
      </c>
      <c r="B42" s="113">
        <f t="shared" si="28"/>
        <v>14399</v>
      </c>
      <c r="C42" s="118">
        <f t="shared" si="29"/>
        <v>96.330000000000055</v>
      </c>
      <c r="D42" s="181" t="s">
        <v>6</v>
      </c>
      <c r="E42" s="182">
        <f>IF(H41="AFIII",VLOOKUP($D42,Sheet1!$A$34:$K$48,5,FALSE),IF(H41="UBIII",VLOOKUP($D42,Sheet1!$A$34:$K$48,8,FALSE),VLOOKUP($D42,Sheet1!$A$34:$K$48,2,FALSE)))</f>
        <v>2.86</v>
      </c>
      <c r="F42" s="182">
        <f>ROUNDDOWN((IF(H41="AFIII",VLOOKUP($D42,Sheet1!$A$34:$K$48,5,FALSE),IF(H41="UBIII",VLOOKUP($D42,Sheet1!$A$34:$K$48,8,FALSE),VLOOKUP($D42,Sheet1!$A$34:$K$48,2,FALSE))))*0.85,2)</f>
        <v>2.4300000000000002</v>
      </c>
      <c r="G42" s="182">
        <f t="shared" si="46"/>
        <v>2.4300000000000002</v>
      </c>
      <c r="H42" s="183" t="s">
        <v>84</v>
      </c>
      <c r="I42" s="182">
        <f>I41-G42</f>
        <v>5.1400000000000006</v>
      </c>
      <c r="K42" s="182">
        <f t="shared" si="58"/>
        <v>8.1100000000000012</v>
      </c>
      <c r="L42" s="182">
        <f t="shared" si="31"/>
        <v>11.82</v>
      </c>
      <c r="O42" s="182">
        <f t="shared" si="57"/>
        <v>0.90000000000000124</v>
      </c>
      <c r="R42" s="182">
        <f>R41-G42</f>
        <v>-12.459999999999996</v>
      </c>
      <c r="S42" s="183" t="s">
        <v>52</v>
      </c>
      <c r="T42" s="182">
        <f t="shared" si="51"/>
        <v>1.0000000000000675E-2</v>
      </c>
      <c r="U42" s="184">
        <f t="shared" si="52"/>
        <v>60.009999999999948</v>
      </c>
      <c r="V42" s="201">
        <f>IF(H41="AFIII",VLOOKUP(D42,Sheet1!$A$4:$H$18,5,FALSE),IF(H41="UBIII",VLOOKUP(D42,Sheet1!$A$4:$H$18,8,FALSE),IF(H41="",VLOOKUP(D42,Sheet1!$A$4:$H$18,2,FALSE),"0")))</f>
        <v>1768</v>
      </c>
      <c r="W42" s="201">
        <f t="shared" si="41"/>
        <v>0</v>
      </c>
      <c r="X42" s="208">
        <f t="shared" si="42"/>
        <v>7414</v>
      </c>
      <c r="Y42" s="171" t="str">
        <f t="shared" si="43"/>
        <v>SUCCESS</v>
      </c>
      <c r="Z42" s="171" t="str">
        <f t="shared" si="44"/>
        <v>SUCCESS</v>
      </c>
      <c r="AA42" s="185">
        <f t="shared" si="45"/>
        <v>149.4757604069344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324</v>
      </c>
      <c r="B43" s="113">
        <f t="shared" si="28"/>
        <v>14723</v>
      </c>
      <c r="C43" s="118">
        <f t="shared" si="29"/>
        <v>98.360000000000056</v>
      </c>
      <c r="D43" s="181" t="s">
        <v>1</v>
      </c>
      <c r="E43" s="182">
        <f>IF(H42="AFIII",VLOOKUP($D43,Sheet1!$A$34:$K$48,5,FALSE),IF(H42="UBIII",VLOOKUP($D43,Sheet1!$A$34:$K$48,8,FALSE),VLOOKUP($D43,Sheet1!$A$34:$K$48,2,FALSE)))</f>
        <v>2.39</v>
      </c>
      <c r="F43" s="182">
        <f>ROUNDDOWN((IF(H42="AFIII",VLOOKUP($D43,Sheet1!$A$34:$K$48,5,FALSE),IF(H42="UBIII",VLOOKUP($D43,Sheet1!$A$34:$K$48,8,FALSE),VLOOKUP($D43,Sheet1!$A$34:$K$48,2,FALSE))))*0.85,2)</f>
        <v>2.0299999999999998</v>
      </c>
      <c r="G43" s="182">
        <f t="shared" si="46"/>
        <v>2.0299999999999998</v>
      </c>
      <c r="H43" s="183" t="s">
        <v>84</v>
      </c>
      <c r="I43" s="182">
        <v>10</v>
      </c>
      <c r="K43" s="182">
        <f t="shared" si="58"/>
        <v>6.0800000000000018</v>
      </c>
      <c r="L43" s="182">
        <f t="shared" si="31"/>
        <v>9.7900000000000009</v>
      </c>
      <c r="M43" s="183" t="s">
        <v>135</v>
      </c>
      <c r="O43" s="182">
        <f t="shared" si="57"/>
        <v>-1.1299999999999986</v>
      </c>
      <c r="T43" s="182">
        <f t="shared" si="51"/>
        <v>-2.0199999999999991</v>
      </c>
      <c r="U43" s="184">
        <f t="shared" si="52"/>
        <v>57.979999999999947</v>
      </c>
      <c r="V43" s="201">
        <f>IF(H42="AFIII",VLOOKUP(D43,Sheet1!$A$4:$H$18,5,FALSE),IF(H42="UBIII",VLOOKUP(D43,Sheet1!$A$4:$H$18,8,FALSE),IF(H42="",VLOOKUP(D43,Sheet1!$A$4:$H$18,2,FALSE),"0")))</f>
        <v>2120</v>
      </c>
      <c r="W43" s="201">
        <f t="shared" si="41"/>
        <v>0</v>
      </c>
      <c r="X43" s="208">
        <f t="shared" si="42"/>
        <v>5294</v>
      </c>
      <c r="Y43" s="171" t="str">
        <f t="shared" si="43"/>
        <v>SUCCESS</v>
      </c>
      <c r="Z43" s="171" t="str">
        <f t="shared" si="44"/>
        <v>SUCCESS</v>
      </c>
      <c r="AA43" s="185">
        <f t="shared" si="45"/>
        <v>149.68483123220813</v>
      </c>
    </row>
    <row r="44" spans="1:27">
      <c r="A44" s="112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28"/>
        <v>15227</v>
      </c>
      <c r="C44" s="118">
        <f t="shared" si="29"/>
        <v>101.22000000000006</v>
      </c>
      <c r="D44" s="181" t="s">
        <v>6</v>
      </c>
      <c r="E44" s="182">
        <f>IF(H43="AFIII",VLOOKUP($D44,Sheet1!$A$34:$K$48,5,FALSE),IF(H43="UBIII",VLOOKUP($D44,Sheet1!$A$34:$K$48,8,FALSE),VLOOKUP($D44,Sheet1!$A$34:$K$48,2,FALSE)))</f>
        <v>2.86</v>
      </c>
      <c r="F44" s="182">
        <f>ROUNDDOWN((IF(H43="AFIII",VLOOKUP($D44,Sheet1!$A$34:$K$48,5,FALSE),IF(H43="UBIII",VLOOKUP($D44,Sheet1!$A$34:$K$48,8,FALSE),VLOOKUP($D44,Sheet1!$A$34:$K$48,2,FALSE))))*0.85,2)</f>
        <v>2.4300000000000002</v>
      </c>
      <c r="G44" s="182">
        <f t="shared" si="46"/>
        <v>2.86</v>
      </c>
      <c r="H44" s="183" t="s">
        <v>84</v>
      </c>
      <c r="I44" s="182">
        <f>I43-G44</f>
        <v>7.1400000000000006</v>
      </c>
      <c r="K44" s="182">
        <f t="shared" si="58"/>
        <v>3.220000000000002</v>
      </c>
      <c r="L44" s="182">
        <f t="shared" si="31"/>
        <v>6.9300000000000015</v>
      </c>
      <c r="M44" s="183" t="s">
        <v>102</v>
      </c>
      <c r="O44" s="182">
        <v>60</v>
      </c>
      <c r="U44" s="184">
        <f t="shared" si="52"/>
        <v>55.119999999999948</v>
      </c>
      <c r="V44" s="201">
        <f>IF(H43="AFIII",VLOOKUP(D44,Sheet1!$A$4:$H$18,5,FALSE),IF(H43="UBIII",VLOOKUP(D44,Sheet1!$A$4:$H$18,8,FALSE),IF(H43="",VLOOKUP(D44,Sheet1!$A$4:$H$18,2,FALSE),"0")))</f>
        <v>1768</v>
      </c>
      <c r="W44" s="201">
        <f t="shared" si="41"/>
        <v>0</v>
      </c>
      <c r="X44" s="208">
        <f t="shared" si="42"/>
        <v>3526</v>
      </c>
      <c r="Y44" s="171" t="str">
        <f t="shared" si="43"/>
        <v>SUCCESS</v>
      </c>
      <c r="Z44" s="171" t="str">
        <f t="shared" si="44"/>
        <v>SUCCESS</v>
      </c>
      <c r="AA44" s="185">
        <f t="shared" si="45"/>
        <v>150.43469670025678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504</v>
      </c>
      <c r="B45" s="113">
        <f t="shared" si="28"/>
        <v>15731</v>
      </c>
      <c r="C45" s="118">
        <f t="shared" si="29"/>
        <v>103.61000000000006</v>
      </c>
      <c r="D45" s="181" t="s">
        <v>6</v>
      </c>
      <c r="E45" s="182">
        <f>IF(H44="AFIII",VLOOKUP($D45,Sheet1!$A$34:$K$48,5,FALSE),IF(H44="UBIII",VLOOKUP($D45,Sheet1!$A$34:$K$48,8,FALSE),VLOOKUP($D45,Sheet1!$A$34:$K$48,2,FALSE)))</f>
        <v>2.86</v>
      </c>
      <c r="F45" s="182">
        <f>ROUNDDOWN((IF(H44="AFIII",VLOOKUP($D45,Sheet1!$A$34:$K$48,5,FALSE),IF(H44="UBIII",VLOOKUP($D45,Sheet1!$A$34:$K$48,8,FALSE),VLOOKUP($D45,Sheet1!$A$34:$K$48,2,FALSE))))*0.85,2)</f>
        <v>2.4300000000000002</v>
      </c>
      <c r="G45" s="182">
        <f t="shared" si="46"/>
        <v>2.39</v>
      </c>
      <c r="H45" s="183" t="s">
        <v>84</v>
      </c>
      <c r="I45" s="182">
        <f t="shared" ref="I45" si="59">I44-G45</f>
        <v>4.75</v>
      </c>
      <c r="K45" s="182">
        <f t="shared" si="58"/>
        <v>0.83000000000000185</v>
      </c>
      <c r="L45" s="182">
        <f t="shared" si="31"/>
        <v>4.5400000000000009</v>
      </c>
      <c r="O45" s="182">
        <f>O44-G45</f>
        <v>57.61</v>
      </c>
      <c r="U45" s="184">
        <f t="shared" si="52"/>
        <v>52.729999999999947</v>
      </c>
      <c r="V45" s="201">
        <f>IF(H44="AFIII",VLOOKUP(D45,Sheet1!$A$4:$H$18,5,FALSE),IF(H44="UBIII",VLOOKUP(D45,Sheet1!$A$4:$H$18,8,FALSE),IF(H44="",VLOOKUP(D45,Sheet1!$A$4:$H$18,2,FALSE),"0")))</f>
        <v>1768</v>
      </c>
      <c r="W45" s="201">
        <f t="shared" si="41"/>
        <v>0</v>
      </c>
      <c r="X45" s="208">
        <f t="shared" si="42"/>
        <v>1758</v>
      </c>
      <c r="Y45" s="171" t="str">
        <f t="shared" si="43"/>
        <v>SUCCESS</v>
      </c>
      <c r="Z45" s="171" t="str">
        <f t="shared" si="44"/>
        <v>SUCCESS</v>
      </c>
      <c r="AA45" s="185">
        <f t="shared" si="45"/>
        <v>151.82897403725502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168</v>
      </c>
      <c r="B46" s="113">
        <f t="shared" ref="B46:B81" si="60">B45+A46</f>
        <v>15899</v>
      </c>
      <c r="C46" s="118">
        <f t="shared" ref="C46" si="61">C45+G46</f>
        <v>106.00000000000006</v>
      </c>
      <c r="D46" s="181" t="s">
        <v>12</v>
      </c>
      <c r="E46" s="182">
        <f>IF(H45="AFIII",VLOOKUP($D46,Sheet1!$A$34:$K$48,5,FALSE),IF(H45="UBIII",VLOOKUP($D46,Sheet1!$A$34:$K$48,8,FALSE),VLOOKUP($D46,Sheet1!$A$34:$K$48,2,FALSE)))</f>
        <v>1.67</v>
      </c>
      <c r="F46" s="182">
        <f>ROUNDDOWN((IF(H45="AFIII",VLOOKUP($D46,Sheet1!$A$34:$K$48,5,FALSE),IF(H45="UBIII",VLOOKUP($D46,Sheet1!$A$34:$K$48,8,FALSE),VLOOKUP($D46,Sheet1!$A$34:$K$48,2,FALSE))))*0.85,2)</f>
        <v>1.41</v>
      </c>
      <c r="G46" s="182">
        <f t="shared" ref="G46:G62" si="62">IF(M45="迅速",IF(S45="黒魔紋",$F$1,$E$1),IF(S45="黒魔紋",IF(F46&lt;$F$1,$F$1,F46),IF(E46&lt;$E$1,$E$1,E46)))</f>
        <v>2.39</v>
      </c>
      <c r="H46" s="183" t="s">
        <v>122</v>
      </c>
      <c r="I46" s="182">
        <v>10</v>
      </c>
      <c r="K46" s="182">
        <f t="shared" ref="K46:K47" si="63">K45-G46</f>
        <v>-1.5599999999999983</v>
      </c>
      <c r="L46" s="182">
        <f>L45-G46</f>
        <v>2.1500000000000008</v>
      </c>
      <c r="O46" s="182">
        <f t="shared" ref="O46:O60" si="64">O45-G46</f>
        <v>55.22</v>
      </c>
      <c r="U46" s="184">
        <f t="shared" ref="U46:U66" si="65">U45-G46</f>
        <v>50.339999999999947</v>
      </c>
      <c r="V46" s="201">
        <f>IF(H45="AFIII",VLOOKUP(D46,Sheet1!$A$4:$H$18,5,FALSE),IF(H45="UBIII",VLOOKUP(D46,Sheet1!$A$4:$H$18,8,FALSE),IF(H45="",VLOOKUP(D46,Sheet1!$A$4:$H$18,2,FALSE),"0")))</f>
        <v>265</v>
      </c>
      <c r="W46" s="201">
        <f t="shared" ref="W46:W81" si="66">IF(H45="UBIII",$X$2,0)</f>
        <v>0</v>
      </c>
      <c r="X46" s="208">
        <f t="shared" ref="X46:X81" si="67">IF(M46="コンバート",(IF(D46="フレア",0,IF(X45-V46+W46&gt;$X$3,$X$3-V46,X45-V46+W46)))+$X$1,IF(D46="フレア",0,IF(X45-V46+W46&gt;$X$3,$X$3-V46,X45-V46+W46)))</f>
        <v>1493</v>
      </c>
      <c r="Y46" s="171" t="str">
        <f t="shared" ref="Y46:Y81" si="68">IF(X45-V46&lt;0,"ERROR","SUCCESS")</f>
        <v>SUCCESS</v>
      </c>
      <c r="Z46" s="171" t="str">
        <f t="shared" ref="Z46:Z81" si="69">IF(K45-G46&lt;0,"ERROR","SUCCESS")</f>
        <v>ERROR</v>
      </c>
      <c r="AA46" s="185">
        <f t="shared" ref="AA46:AA80" si="70">B46/C46</f>
        <v>149.99056603773576</v>
      </c>
    </row>
    <row r="47" spans="1:27">
      <c r="A47" s="12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295</v>
      </c>
      <c r="B47" s="123">
        <f t="shared" si="60"/>
        <v>16194</v>
      </c>
      <c r="C47" s="124">
        <f>C46+G47</f>
        <v>108.86000000000006</v>
      </c>
      <c r="D47" s="186" t="s">
        <v>19</v>
      </c>
      <c r="E47" s="187">
        <f>IF(H46="AFIII",VLOOKUP($D47,Sheet1!$A$34:$K$48,5,FALSE),IF(H46="UBIII",VLOOKUP($D47,Sheet1!$A$34:$K$48,8,FALSE),VLOOKUP($D47,Sheet1!$A$34:$K$48,2,FALSE)))</f>
        <v>2.86</v>
      </c>
      <c r="F47" s="187">
        <f>ROUNDDOWN((IF(H46="AFIII",VLOOKUP($D47,Sheet1!$A$34:$K$48,5,FALSE),IF(H46="UBIII",VLOOKUP($D47,Sheet1!$A$34:$K$48,8,FALSE),VLOOKUP($D47,Sheet1!$A$34:$K$48,2,FALSE))))*0.85,2)</f>
        <v>2.4300000000000002</v>
      </c>
      <c r="G47" s="187">
        <f t="shared" si="62"/>
        <v>2.86</v>
      </c>
      <c r="H47" s="188" t="s">
        <v>122</v>
      </c>
      <c r="I47" s="187">
        <f>I46-G47</f>
        <v>7.1400000000000006</v>
      </c>
      <c r="J47" s="188" t="s">
        <v>138</v>
      </c>
      <c r="K47" s="187">
        <f t="shared" si="63"/>
        <v>-4.4199999999999982</v>
      </c>
      <c r="L47" s="187">
        <f>L46-G47</f>
        <v>-0.70999999999999908</v>
      </c>
      <c r="M47" s="188"/>
      <c r="N47" s="187"/>
      <c r="O47" s="187">
        <f t="shared" si="64"/>
        <v>52.36</v>
      </c>
      <c r="P47" s="188" t="s">
        <v>17</v>
      </c>
      <c r="Q47" s="187">
        <v>21</v>
      </c>
      <c r="R47" s="187"/>
      <c r="S47" s="188"/>
      <c r="T47" s="187"/>
      <c r="U47" s="189">
        <f t="shared" si="65"/>
        <v>47.479999999999947</v>
      </c>
      <c r="V47" s="209">
        <f>IF(H46="AFIII",VLOOKUP(D47,Sheet1!$A$4:$H$18,5,FALSE),IF(H46="UBIII",VLOOKUP(D47,Sheet1!$A$4:$H$18,8,FALSE),IF(H46="",VLOOKUP(D47,Sheet1!$A$4:$H$18,2,FALSE),"0")))</f>
        <v>1060</v>
      </c>
      <c r="W47" s="209">
        <f t="shared" si="66"/>
        <v>7033</v>
      </c>
      <c r="X47" s="210">
        <f t="shared" si="67"/>
        <v>7466</v>
      </c>
      <c r="Y47" s="190" t="str">
        <f t="shared" si="68"/>
        <v>SUCCESS</v>
      </c>
      <c r="Z47" s="190" t="str">
        <f t="shared" si="69"/>
        <v>ERROR</v>
      </c>
      <c r="AA47" s="185">
        <f t="shared" si="70"/>
        <v>148.75987506889575</v>
      </c>
    </row>
    <row r="48" spans="1:27">
      <c r="A48" s="11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168</v>
      </c>
      <c r="B48" s="113">
        <f t="shared" si="60"/>
        <v>16362</v>
      </c>
      <c r="C48" s="118">
        <f>C47+G48</f>
        <v>111.25000000000006</v>
      </c>
      <c r="D48" s="181" t="s">
        <v>4</v>
      </c>
      <c r="E48" s="182">
        <f>IF(H47="AFIII",VLOOKUP($D48,Sheet1!$A$34:$K$48,5,FALSE),IF(H47="UBIII",VLOOKUP($D48,Sheet1!$A$34:$K$48,8,FALSE),VLOOKUP($D48,Sheet1!$A$34:$K$48,2,FALSE)))</f>
        <v>1.67</v>
      </c>
      <c r="F48" s="182">
        <f>ROUNDDOWN((IF(H47="AFIII",VLOOKUP($D48,Sheet1!$A$34:$K$48,5,FALSE),IF(H47="UBIII",VLOOKUP($D48,Sheet1!$A$34:$K$48,8,FALSE),VLOOKUP($D48,Sheet1!$A$34:$K$48,2,FALSE))))*0.85,2)</f>
        <v>1.41</v>
      </c>
      <c r="G48" s="182">
        <f t="shared" si="62"/>
        <v>2.39</v>
      </c>
      <c r="H48" s="183" t="s">
        <v>84</v>
      </c>
      <c r="I48" s="182">
        <v>10</v>
      </c>
      <c r="J48" s="183" t="s">
        <v>105</v>
      </c>
      <c r="K48" s="182">
        <v>30</v>
      </c>
      <c r="L48" s="182">
        <v>90</v>
      </c>
      <c r="O48" s="182">
        <f>O47-G48</f>
        <v>49.97</v>
      </c>
      <c r="Q48" s="182">
        <f t="shared" ref="Q48:Q55" si="71">Q47-G48</f>
        <v>18.61</v>
      </c>
      <c r="U48" s="184">
        <f t="shared" si="65"/>
        <v>45.089999999999947</v>
      </c>
      <c r="V48" s="201">
        <f>IF(H47="AFIII",VLOOKUP(D48,Sheet1!$A$4:$H$18,5,FALSE),IF(H47="UBIII",VLOOKUP(D48,Sheet1!$A$4:$H$18,8,FALSE),IF(H47="",VLOOKUP(D48,Sheet1!$A$4:$H$18,2,FALSE),"0")))</f>
        <v>442</v>
      </c>
      <c r="W48" s="201">
        <f t="shared" si="66"/>
        <v>7033</v>
      </c>
      <c r="X48" s="208">
        <f t="shared" si="67"/>
        <v>10950</v>
      </c>
      <c r="Y48" s="171" t="str">
        <f t="shared" si="68"/>
        <v>SUCCESS</v>
      </c>
      <c r="Z48" s="171" t="str">
        <f t="shared" si="69"/>
        <v>ERROR</v>
      </c>
      <c r="AA48" s="185">
        <f t="shared" si="70"/>
        <v>147.07415730337073</v>
      </c>
    </row>
    <row r="49" spans="1:27">
      <c r="A49" s="112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504</v>
      </c>
      <c r="B49" s="113">
        <f t="shared" si="60"/>
        <v>16866</v>
      </c>
      <c r="C49" s="118">
        <f>C48+G49</f>
        <v>114.11000000000006</v>
      </c>
      <c r="D49" s="181" t="s">
        <v>6</v>
      </c>
      <c r="E49" s="182">
        <f>IF(H48="AFIII",VLOOKUP($D49,Sheet1!$A$34:$K$48,5,FALSE),IF(H48="UBIII",VLOOKUP($D49,Sheet1!$A$34:$K$48,8,FALSE),VLOOKUP($D49,Sheet1!$A$34:$K$48,2,FALSE)))</f>
        <v>2.86</v>
      </c>
      <c r="F49" s="182">
        <f>ROUNDDOWN((IF(H48="AFIII",VLOOKUP($D49,Sheet1!$A$34:$K$48,5,FALSE),IF(H48="UBIII",VLOOKUP($D49,Sheet1!$A$34:$K$48,8,FALSE),VLOOKUP($D49,Sheet1!$A$34:$K$48,2,FALSE))))*0.85,2)</f>
        <v>2.4300000000000002</v>
      </c>
      <c r="G49" s="182">
        <f t="shared" si="62"/>
        <v>2.86</v>
      </c>
      <c r="H49" s="183" t="s">
        <v>84</v>
      </c>
      <c r="I49" s="182">
        <f>I48-G49</f>
        <v>7.1400000000000006</v>
      </c>
      <c r="K49" s="182">
        <f>K48-G49</f>
        <v>27.14</v>
      </c>
      <c r="L49" s="182">
        <f>L48-G49</f>
        <v>87.14</v>
      </c>
      <c r="O49" s="182">
        <f t="shared" si="64"/>
        <v>47.11</v>
      </c>
      <c r="Q49" s="182">
        <f t="shared" si="71"/>
        <v>15.75</v>
      </c>
      <c r="U49" s="184">
        <f t="shared" si="65"/>
        <v>42.229999999999947</v>
      </c>
      <c r="V49" s="201">
        <f>IF(H48="AFIII",VLOOKUP(D49,Sheet1!$A$4:$H$18,5,FALSE),IF(H48="UBIII",VLOOKUP(D49,Sheet1!$A$4:$H$18,8,FALSE),IF(H48="",VLOOKUP(D49,Sheet1!$A$4:$H$18,2,FALSE),"0")))</f>
        <v>1768</v>
      </c>
      <c r="W49" s="201">
        <f t="shared" si="66"/>
        <v>0</v>
      </c>
      <c r="X49" s="208">
        <f t="shared" si="67"/>
        <v>9182</v>
      </c>
      <c r="Y49" s="171" t="str">
        <f t="shared" si="68"/>
        <v>SUCCESS</v>
      </c>
      <c r="Z49" s="171" t="str">
        <f t="shared" si="69"/>
        <v>SUCCESS</v>
      </c>
      <c r="AA49" s="185">
        <f t="shared" si="70"/>
        <v>147.80474980282176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504</v>
      </c>
      <c r="B50" s="113">
        <f t="shared" si="60"/>
        <v>17370</v>
      </c>
      <c r="C50" s="118">
        <f>C49+G50</f>
        <v>116.97000000000006</v>
      </c>
      <c r="D50" s="181" t="s">
        <v>6</v>
      </c>
      <c r="E50" s="182">
        <f>IF(H49="AFIII",VLOOKUP($D50,Sheet1!$A$34:$K$48,5,FALSE),IF(H49="UBIII",VLOOKUP($D50,Sheet1!$A$34:$K$48,8,FALSE),VLOOKUP($D50,Sheet1!$A$34:$K$48,2,FALSE)))</f>
        <v>2.86</v>
      </c>
      <c r="F50" s="182">
        <f>ROUNDDOWN((IF(H49="AFIII",VLOOKUP($D50,Sheet1!$A$34:$K$48,5,FALSE),IF(H49="UBIII",VLOOKUP($D50,Sheet1!$A$34:$K$48,8,FALSE),VLOOKUP($D50,Sheet1!$A$34:$K$48,2,FALSE))))*0.85,2)</f>
        <v>2.4300000000000002</v>
      </c>
      <c r="G50" s="182">
        <f t="shared" si="62"/>
        <v>2.86</v>
      </c>
      <c r="H50" s="183" t="s">
        <v>84</v>
      </c>
      <c r="I50" s="182">
        <f>I49-G50</f>
        <v>4.2800000000000011</v>
      </c>
      <c r="K50" s="182">
        <f t="shared" ref="K50:K56" si="72">K49-G50</f>
        <v>24.28</v>
      </c>
      <c r="L50" s="182">
        <f t="shared" ref="L50:L81" si="73">L49-G50</f>
        <v>84.28</v>
      </c>
      <c r="O50" s="182">
        <f t="shared" si="64"/>
        <v>44.25</v>
      </c>
      <c r="P50" s="183" t="s">
        <v>131</v>
      </c>
      <c r="Q50" s="182">
        <f t="shared" si="71"/>
        <v>12.89</v>
      </c>
      <c r="R50" s="182">
        <v>60</v>
      </c>
      <c r="U50" s="184">
        <f t="shared" si="65"/>
        <v>39.369999999999948</v>
      </c>
      <c r="V50" s="201">
        <f>IF(H49="AFIII",VLOOKUP(D50,Sheet1!$A$4:$H$18,5,FALSE),IF(H49="UBIII",VLOOKUP(D50,Sheet1!$A$4:$H$18,8,FALSE),IF(H49="",VLOOKUP(D50,Sheet1!$A$4:$H$18,2,FALSE),"0")))</f>
        <v>1768</v>
      </c>
      <c r="W50" s="201">
        <f t="shared" si="66"/>
        <v>0</v>
      </c>
      <c r="X50" s="208">
        <f t="shared" si="67"/>
        <v>7414</v>
      </c>
      <c r="Y50" s="171" t="str">
        <f t="shared" si="68"/>
        <v>SUCCESS</v>
      </c>
      <c r="Z50" s="171" t="str">
        <f t="shared" si="69"/>
        <v>SUCCESS</v>
      </c>
      <c r="AA50" s="185">
        <f t="shared" si="70"/>
        <v>148.49961528597069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324</v>
      </c>
      <c r="B51" s="113">
        <f t="shared" si="60"/>
        <v>17694</v>
      </c>
      <c r="C51" s="118">
        <f t="shared" ref="C51:C81" si="74">C50+G51</f>
        <v>119.36000000000006</v>
      </c>
      <c r="D51" s="181" t="s">
        <v>1</v>
      </c>
      <c r="E51" s="182">
        <f>IF(H50="AFIII",VLOOKUP($D51,Sheet1!$A$34:$K$48,5,FALSE),IF(H50="UBIII",VLOOKUP($D51,Sheet1!$A$34:$K$48,8,FALSE),VLOOKUP($D51,Sheet1!$A$34:$K$48,2,FALSE)))</f>
        <v>2.39</v>
      </c>
      <c r="F51" s="182">
        <f>ROUNDDOWN((IF(H50="AFIII",VLOOKUP($D51,Sheet1!$A$34:$K$48,5,FALSE),IF(H50="UBIII",VLOOKUP($D51,Sheet1!$A$34:$K$48,8,FALSE),VLOOKUP($D51,Sheet1!$A$34:$K$48,2,FALSE))))*0.85,2)</f>
        <v>2.0299999999999998</v>
      </c>
      <c r="G51" s="182">
        <f t="shared" si="62"/>
        <v>2.39</v>
      </c>
      <c r="H51" s="183" t="s">
        <v>84</v>
      </c>
      <c r="I51" s="182">
        <v>10</v>
      </c>
      <c r="K51" s="182">
        <f t="shared" si="72"/>
        <v>21.89</v>
      </c>
      <c r="L51" s="182">
        <f t="shared" si="73"/>
        <v>81.89</v>
      </c>
      <c r="O51" s="182">
        <f t="shared" si="64"/>
        <v>41.86</v>
      </c>
      <c r="Q51" s="182">
        <f t="shared" si="71"/>
        <v>10.5</v>
      </c>
      <c r="R51" s="182">
        <f>R50-G51</f>
        <v>57.61</v>
      </c>
      <c r="U51" s="184">
        <f t="shared" si="65"/>
        <v>36.979999999999947</v>
      </c>
      <c r="V51" s="201">
        <f>IF(H50="AFIII",VLOOKUP(D51,Sheet1!$A$4:$H$18,5,FALSE),IF(H50="UBIII",VLOOKUP(D51,Sheet1!$A$4:$H$18,8,FALSE),IF(H50="",VLOOKUP(D51,Sheet1!$A$4:$H$18,2,FALSE),"0")))</f>
        <v>2120</v>
      </c>
      <c r="W51" s="201">
        <f t="shared" si="66"/>
        <v>0</v>
      </c>
      <c r="X51" s="208">
        <f t="shared" si="67"/>
        <v>5294</v>
      </c>
      <c r="Y51" s="171" t="str">
        <f t="shared" si="68"/>
        <v>SUCCESS</v>
      </c>
      <c r="Z51" s="171" t="str">
        <f t="shared" si="69"/>
        <v>SUCCESS</v>
      </c>
      <c r="AA51" s="185">
        <f t="shared" si="70"/>
        <v>148.24061662198383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432</v>
      </c>
      <c r="B52" s="113">
        <f t="shared" si="60"/>
        <v>18126</v>
      </c>
      <c r="C52" s="118">
        <f t="shared" si="74"/>
        <v>121.75000000000006</v>
      </c>
      <c r="D52" s="181" t="s">
        <v>129</v>
      </c>
      <c r="E52" s="182">
        <f>IF(H51="AFIII",VLOOKUP($D52,Sheet1!$A$34:$K$48,5,FALSE),IF(H51="UBIII",VLOOKUP($D52,Sheet1!$A$34:$K$48,8,FALSE),VLOOKUP($D52,Sheet1!$A$34:$K$48,2,FALSE)))</f>
        <v>2.39</v>
      </c>
      <c r="F52" s="182">
        <f>ROUNDDOWN((IF(H51="AFIII",VLOOKUP($D52,Sheet1!$A$34:$K$48,5,FALSE),IF(H51="UBIII",VLOOKUP($D52,Sheet1!$A$34:$K$48,8,FALSE),VLOOKUP($D52,Sheet1!$A$34:$K$48,2,FALSE))))*0.85,2)</f>
        <v>2.0299999999999998</v>
      </c>
      <c r="G52" s="182">
        <f t="shared" si="62"/>
        <v>2.39</v>
      </c>
      <c r="H52" s="183" t="s">
        <v>84</v>
      </c>
      <c r="I52" s="182">
        <v>10</v>
      </c>
      <c r="K52" s="182">
        <f t="shared" si="72"/>
        <v>19.5</v>
      </c>
      <c r="L52" s="182">
        <f t="shared" si="73"/>
        <v>79.5</v>
      </c>
      <c r="O52" s="182">
        <f t="shared" si="64"/>
        <v>39.47</v>
      </c>
      <c r="Q52" s="182">
        <f t="shared" si="71"/>
        <v>8.11</v>
      </c>
      <c r="R52" s="182">
        <f t="shared" ref="R52:R70" si="75">R51-G52</f>
        <v>55.22</v>
      </c>
      <c r="U52" s="184">
        <f t="shared" si="65"/>
        <v>34.589999999999947</v>
      </c>
      <c r="V52" s="201">
        <f>IF(H51="AFIII",VLOOKUP(D52,Sheet1!$A$4:$H$18,5,FALSE),IF(H51="UBIII",VLOOKUP(D52,Sheet1!$A$4:$H$18,8,FALSE),IF(H51="",VLOOKUP(D52,Sheet1!$A$4:$H$18,2,FALSE),"0")))</f>
        <v>0</v>
      </c>
      <c r="W52" s="201">
        <f t="shared" si="66"/>
        <v>0</v>
      </c>
      <c r="X52" s="208">
        <f t="shared" si="67"/>
        <v>5294</v>
      </c>
      <c r="Y52" s="171" t="str">
        <f t="shared" si="68"/>
        <v>SUCCESS</v>
      </c>
      <c r="Z52" s="171" t="str">
        <f t="shared" si="69"/>
        <v>SUCCESS</v>
      </c>
      <c r="AA52" s="185">
        <f t="shared" si="70"/>
        <v>148.87885010266933</v>
      </c>
    </row>
    <row r="53" spans="1:27">
      <c r="A53" s="112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504</v>
      </c>
      <c r="B53" s="113">
        <f t="shared" si="60"/>
        <v>18630</v>
      </c>
      <c r="C53" s="118">
        <f t="shared" si="74"/>
        <v>124.61000000000006</v>
      </c>
      <c r="D53" s="181" t="s">
        <v>6</v>
      </c>
      <c r="E53" s="182">
        <f>IF(H52="AFIII",VLOOKUP($D53,Sheet1!$A$34:$K$48,5,FALSE),IF(H52="UBIII",VLOOKUP($D53,Sheet1!$A$34:$K$48,8,FALSE),VLOOKUP($D53,Sheet1!$A$34:$K$48,2,FALSE)))</f>
        <v>2.86</v>
      </c>
      <c r="F53" s="182">
        <f>ROUNDDOWN((IF(H52="AFIII",VLOOKUP($D53,Sheet1!$A$34:$K$48,5,FALSE),IF(H52="UBIII",VLOOKUP($D53,Sheet1!$A$34:$K$48,8,FALSE),VLOOKUP($D53,Sheet1!$A$34:$K$48,2,FALSE))))*0.85,2)</f>
        <v>2.4300000000000002</v>
      </c>
      <c r="G53" s="182">
        <f t="shared" si="62"/>
        <v>2.86</v>
      </c>
      <c r="H53" s="183" t="s">
        <v>84</v>
      </c>
      <c r="I53" s="182">
        <f>I52-G53</f>
        <v>7.1400000000000006</v>
      </c>
      <c r="K53" s="182">
        <f t="shared" si="72"/>
        <v>16.64</v>
      </c>
      <c r="L53" s="182">
        <f t="shared" si="73"/>
        <v>76.64</v>
      </c>
      <c r="O53" s="182">
        <f t="shared" si="64"/>
        <v>36.61</v>
      </c>
      <c r="Q53" s="182">
        <f t="shared" si="71"/>
        <v>5.25</v>
      </c>
      <c r="R53" s="182">
        <f t="shared" si="75"/>
        <v>52.36</v>
      </c>
      <c r="U53" s="184">
        <f t="shared" si="65"/>
        <v>31.729999999999947</v>
      </c>
      <c r="V53" s="201">
        <f>IF(H52="AFIII",VLOOKUP(D53,Sheet1!$A$4:$H$18,5,FALSE),IF(H52="UBIII",VLOOKUP(D53,Sheet1!$A$4:$H$18,8,FALSE),IF(H52="",VLOOKUP(D53,Sheet1!$A$4:$H$18,2,FALSE),"0")))</f>
        <v>1768</v>
      </c>
      <c r="W53" s="201">
        <f t="shared" si="66"/>
        <v>0</v>
      </c>
      <c r="X53" s="208">
        <f t="shared" si="67"/>
        <v>3526</v>
      </c>
      <c r="Y53" s="171" t="str">
        <f t="shared" si="68"/>
        <v>SUCCESS</v>
      </c>
      <c r="Z53" s="171" t="str">
        <f t="shared" si="69"/>
        <v>SUCCESS</v>
      </c>
      <c r="AA53" s="185">
        <f t="shared" si="70"/>
        <v>149.50646015568566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504</v>
      </c>
      <c r="B54" s="113">
        <f t="shared" si="60"/>
        <v>19134</v>
      </c>
      <c r="C54" s="118">
        <f t="shared" si="74"/>
        <v>127.47000000000006</v>
      </c>
      <c r="D54" s="181" t="s">
        <v>6</v>
      </c>
      <c r="E54" s="182">
        <f>IF(H53="AFIII",VLOOKUP($D54,Sheet1!$A$34:$K$48,5,FALSE),IF(H53="UBIII",VLOOKUP($D54,Sheet1!$A$34:$K$48,8,FALSE),VLOOKUP($D54,Sheet1!$A$34:$K$48,2,FALSE)))</f>
        <v>2.86</v>
      </c>
      <c r="F54" s="182">
        <f>ROUNDDOWN((IF(H53="AFIII",VLOOKUP($D54,Sheet1!$A$34:$K$48,5,FALSE),IF(H53="UBIII",VLOOKUP($D54,Sheet1!$A$34:$K$48,8,FALSE),VLOOKUP($D54,Sheet1!$A$34:$K$48,2,FALSE))))*0.85,2)</f>
        <v>2.4300000000000002</v>
      </c>
      <c r="G54" s="182">
        <f t="shared" si="62"/>
        <v>2.86</v>
      </c>
      <c r="H54" s="183" t="s">
        <v>84</v>
      </c>
      <c r="I54" s="182">
        <f>I53-G54</f>
        <v>4.2800000000000011</v>
      </c>
      <c r="K54" s="182">
        <f t="shared" si="72"/>
        <v>13.780000000000001</v>
      </c>
      <c r="L54" s="182">
        <f t="shared" si="73"/>
        <v>73.78</v>
      </c>
      <c r="O54" s="182">
        <f t="shared" si="64"/>
        <v>33.75</v>
      </c>
      <c r="Q54" s="182">
        <f t="shared" si="71"/>
        <v>2.39</v>
      </c>
      <c r="R54" s="182">
        <f t="shared" si="75"/>
        <v>49.5</v>
      </c>
      <c r="U54" s="184">
        <f t="shared" si="65"/>
        <v>28.869999999999948</v>
      </c>
      <c r="V54" s="201">
        <f>IF(H53="AFIII",VLOOKUP(D54,Sheet1!$A$4:$H$18,5,FALSE),IF(H53="UBIII",VLOOKUP(D54,Sheet1!$A$4:$H$18,8,FALSE),IF(H53="",VLOOKUP(D54,Sheet1!$A$4:$H$18,2,FALSE),"0")))</f>
        <v>1768</v>
      </c>
      <c r="W54" s="201">
        <f t="shared" si="66"/>
        <v>0</v>
      </c>
      <c r="X54" s="208">
        <f t="shared" si="67"/>
        <v>1758</v>
      </c>
      <c r="Y54" s="171" t="str">
        <f t="shared" si="68"/>
        <v>SUCCESS</v>
      </c>
      <c r="Z54" s="171" t="str">
        <f t="shared" si="69"/>
        <v>SUCCESS</v>
      </c>
      <c r="AA54" s="185">
        <f t="shared" si="70"/>
        <v>150.10590727229931</v>
      </c>
    </row>
    <row r="55" spans="1:27">
      <c r="A55" s="112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168</v>
      </c>
      <c r="B55" s="113">
        <f t="shared" si="60"/>
        <v>19302</v>
      </c>
      <c r="C55" s="118">
        <f t="shared" si="74"/>
        <v>129.86000000000004</v>
      </c>
      <c r="D55" s="181" t="s">
        <v>12</v>
      </c>
      <c r="E55" s="182">
        <f>IF(H54="AFIII",VLOOKUP($D55,Sheet1!$A$34:$K$48,5,FALSE),IF(H54="UBIII",VLOOKUP($D55,Sheet1!$A$34:$K$48,8,FALSE),VLOOKUP($D55,Sheet1!$A$34:$K$48,2,FALSE)))</f>
        <v>1.67</v>
      </c>
      <c r="F55" s="182">
        <f>ROUNDDOWN((IF(H54="AFIII",VLOOKUP($D55,Sheet1!$A$34:$K$48,5,FALSE),IF(H54="UBIII",VLOOKUP($D55,Sheet1!$A$34:$K$48,8,FALSE),VLOOKUP($D55,Sheet1!$A$34:$K$48,2,FALSE))))*0.85,2)</f>
        <v>1.41</v>
      </c>
      <c r="G55" s="182">
        <f t="shared" si="62"/>
        <v>2.39</v>
      </c>
      <c r="H55" s="183" t="s">
        <v>122</v>
      </c>
      <c r="I55" s="182">
        <v>10</v>
      </c>
      <c r="K55" s="182">
        <f t="shared" si="72"/>
        <v>11.39</v>
      </c>
      <c r="L55" s="182">
        <f t="shared" si="73"/>
        <v>71.39</v>
      </c>
      <c r="O55" s="182">
        <f t="shared" si="64"/>
        <v>31.36</v>
      </c>
      <c r="Q55" s="182">
        <f t="shared" si="71"/>
        <v>0</v>
      </c>
      <c r="R55" s="182">
        <f t="shared" si="75"/>
        <v>47.11</v>
      </c>
      <c r="U55" s="184">
        <f t="shared" si="65"/>
        <v>26.479999999999947</v>
      </c>
      <c r="V55" s="201">
        <f>IF(H54="AFIII",VLOOKUP(D55,Sheet1!$A$4:$H$18,5,FALSE),IF(H54="UBIII",VLOOKUP(D55,Sheet1!$A$4:$H$18,8,FALSE),IF(H54="",VLOOKUP(D55,Sheet1!$A$4:$H$18,2,FALSE),"0")))</f>
        <v>265</v>
      </c>
      <c r="W55" s="201">
        <f t="shared" si="66"/>
        <v>0</v>
      </c>
      <c r="X55" s="208">
        <f t="shared" si="67"/>
        <v>1493</v>
      </c>
      <c r="Y55" s="171" t="str">
        <f t="shared" si="68"/>
        <v>SUCCESS</v>
      </c>
      <c r="Z55" s="171" t="str">
        <f t="shared" si="69"/>
        <v>SUCCESS</v>
      </c>
      <c r="AA55" s="185">
        <f t="shared" si="70"/>
        <v>148.63699368550743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295</v>
      </c>
      <c r="B56" s="113">
        <f t="shared" si="60"/>
        <v>19597</v>
      </c>
      <c r="C56" s="118">
        <f t="shared" si="74"/>
        <v>132.72000000000006</v>
      </c>
      <c r="D56" s="181" t="s">
        <v>19</v>
      </c>
      <c r="E56" s="182">
        <f>IF(H55="AFIII",VLOOKUP($D56,Sheet1!$A$34:$K$48,5,FALSE),IF(H55="UBIII",VLOOKUP($D56,Sheet1!$A$34:$K$48,8,FALSE),VLOOKUP($D56,Sheet1!$A$34:$K$48,2,FALSE)))</f>
        <v>2.86</v>
      </c>
      <c r="F56" s="182">
        <f>ROUNDDOWN((IF(H55="AFIII",VLOOKUP($D56,Sheet1!$A$34:$K$48,5,FALSE),IF(H55="UBIII",VLOOKUP($D56,Sheet1!$A$34:$K$48,8,FALSE),VLOOKUP($D56,Sheet1!$A$34:$K$48,2,FALSE))))*0.85,2)</f>
        <v>2.4300000000000002</v>
      </c>
      <c r="G56" s="182">
        <f t="shared" si="62"/>
        <v>2.86</v>
      </c>
      <c r="H56" s="183" t="s">
        <v>122</v>
      </c>
      <c r="I56" s="182">
        <f>I55-G56</f>
        <v>7.1400000000000006</v>
      </c>
      <c r="K56" s="182">
        <f t="shared" si="72"/>
        <v>8.5300000000000011</v>
      </c>
      <c r="L56" s="182">
        <f t="shared" si="73"/>
        <v>68.53</v>
      </c>
      <c r="O56" s="182">
        <f t="shared" si="64"/>
        <v>28.5</v>
      </c>
      <c r="P56" s="183" t="s">
        <v>17</v>
      </c>
      <c r="Q56" s="182">
        <v>21</v>
      </c>
      <c r="R56" s="182">
        <f t="shared" si="75"/>
        <v>44.25</v>
      </c>
      <c r="U56" s="184">
        <f t="shared" si="65"/>
        <v>23.619999999999948</v>
      </c>
      <c r="V56" s="201">
        <f>IF(H55="AFIII",VLOOKUP(D56,Sheet1!$A$4:$H$18,5,FALSE),IF(H55="UBIII",VLOOKUP(D56,Sheet1!$A$4:$H$18,8,FALSE),IF(H55="",VLOOKUP(D56,Sheet1!$A$4:$H$18,2,FALSE),"0")))</f>
        <v>1060</v>
      </c>
      <c r="W56" s="201">
        <f t="shared" si="66"/>
        <v>7033</v>
      </c>
      <c r="X56" s="208">
        <f t="shared" si="67"/>
        <v>7466</v>
      </c>
      <c r="Y56" s="171" t="str">
        <f t="shared" si="68"/>
        <v>SUCCESS</v>
      </c>
      <c r="Z56" s="171" t="str">
        <f t="shared" si="69"/>
        <v>SUCCESS</v>
      </c>
      <c r="AA56" s="185">
        <f t="shared" si="70"/>
        <v>147.65672091621454</v>
      </c>
    </row>
    <row r="57" spans="1:27">
      <c r="A57" s="119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280</v>
      </c>
      <c r="B57" s="120">
        <f t="shared" si="60"/>
        <v>19877</v>
      </c>
      <c r="C57" s="121">
        <f t="shared" si="74"/>
        <v>135.58000000000007</v>
      </c>
      <c r="D57" s="191" t="s">
        <v>14</v>
      </c>
      <c r="E57" s="192">
        <f>IF(H56="AFIII",VLOOKUP($D57,Sheet1!$A$34:$K$48,5,FALSE),IF(H56="UBIII",VLOOKUP($D57,Sheet1!$A$34:$K$48,8,FALSE),VLOOKUP($D57,Sheet1!$A$34:$K$48,2,FALSE)))</f>
        <v>2.86</v>
      </c>
      <c r="F57" s="192">
        <f>ROUNDDOWN((IF(H56="AFIII",VLOOKUP($D57,Sheet1!$A$34:$K$48,5,FALSE),IF(H56="UBIII",VLOOKUP($D57,Sheet1!$A$34:$K$48,8,FALSE),VLOOKUP($D57,Sheet1!$A$34:$K$48,2,FALSE))))*0.85,2)</f>
        <v>2.4300000000000002</v>
      </c>
      <c r="G57" s="192">
        <f t="shared" si="62"/>
        <v>2.86</v>
      </c>
      <c r="H57" s="193" t="s">
        <v>122</v>
      </c>
      <c r="I57" s="192">
        <f>I56-G57</f>
        <v>4.2800000000000011</v>
      </c>
      <c r="J57" s="193"/>
      <c r="K57" s="192">
        <v>25</v>
      </c>
      <c r="L57" s="192">
        <f t="shared" si="73"/>
        <v>65.67</v>
      </c>
      <c r="M57" s="193"/>
      <c r="N57" s="192"/>
      <c r="O57" s="192">
        <f t="shared" si="64"/>
        <v>25.64</v>
      </c>
      <c r="P57" s="193"/>
      <c r="Q57" s="192">
        <f>Q56-G57</f>
        <v>18.14</v>
      </c>
      <c r="R57" s="192">
        <f t="shared" si="75"/>
        <v>41.39</v>
      </c>
      <c r="S57" s="193"/>
      <c r="T57" s="192"/>
      <c r="U57" s="194">
        <f t="shared" si="65"/>
        <v>20.759999999999948</v>
      </c>
      <c r="V57" s="211">
        <f>IF(H56="AFIII",VLOOKUP(D57,Sheet1!$A$4:$H$18,5,FALSE),IF(H56="UBIII",VLOOKUP(D57,Sheet1!$A$4:$H$18,8,FALSE),IF(H56="",VLOOKUP(D57,Sheet1!$A$4:$H$18,2,FALSE),"0")))</f>
        <v>884</v>
      </c>
      <c r="W57" s="211">
        <f t="shared" si="66"/>
        <v>7033</v>
      </c>
      <c r="X57" s="212">
        <f t="shared" si="67"/>
        <v>10508</v>
      </c>
      <c r="Y57" s="195" t="str">
        <f t="shared" si="68"/>
        <v>SUCCESS</v>
      </c>
      <c r="Z57" s="195" t="str">
        <f t="shared" si="69"/>
        <v>SUCCESS</v>
      </c>
      <c r="AA57" s="185">
        <f t="shared" si="70"/>
        <v>146.60716919899681</v>
      </c>
    </row>
    <row r="58" spans="1:27">
      <c r="A58" s="112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168</v>
      </c>
      <c r="B58" s="113">
        <f t="shared" si="60"/>
        <v>20045</v>
      </c>
      <c r="C58" s="118">
        <f t="shared" si="74"/>
        <v>137.97000000000006</v>
      </c>
      <c r="D58" s="181" t="s">
        <v>4</v>
      </c>
      <c r="E58" s="182">
        <f>IF(H57="AFIII",VLOOKUP($D58,Sheet1!$A$34:$K$48,5,FALSE),IF(H57="UBIII",VLOOKUP($D58,Sheet1!$A$34:$K$48,8,FALSE),VLOOKUP($D58,Sheet1!$A$34:$K$48,2,FALSE)))</f>
        <v>1.67</v>
      </c>
      <c r="F58" s="182">
        <f>ROUNDDOWN((IF(H57="AFIII",VLOOKUP($D58,Sheet1!$A$34:$K$48,5,FALSE),IF(H57="UBIII",VLOOKUP($D58,Sheet1!$A$34:$K$48,8,FALSE),VLOOKUP($D58,Sheet1!$A$34:$K$48,2,FALSE))))*0.85,2)</f>
        <v>1.41</v>
      </c>
      <c r="G58" s="182">
        <f t="shared" si="62"/>
        <v>2.39</v>
      </c>
      <c r="H58" s="183" t="s">
        <v>84</v>
      </c>
      <c r="I58" s="182">
        <v>10</v>
      </c>
      <c r="K58" s="182">
        <f t="shared" ref="K58:K61" si="76">K57-G58</f>
        <v>22.61</v>
      </c>
      <c r="L58" s="182">
        <f t="shared" si="73"/>
        <v>63.28</v>
      </c>
      <c r="O58" s="182">
        <f t="shared" si="64"/>
        <v>23.25</v>
      </c>
      <c r="Q58" s="182">
        <f t="shared" ref="Q58:Q64" si="77">Q57-G58</f>
        <v>15.75</v>
      </c>
      <c r="R58" s="182">
        <f t="shared" si="75"/>
        <v>39</v>
      </c>
      <c r="U58" s="184">
        <f t="shared" si="65"/>
        <v>18.369999999999948</v>
      </c>
      <c r="V58" s="201">
        <f>IF(H57="AFIII",VLOOKUP(D58,Sheet1!$A$4:$H$18,5,FALSE),IF(H57="UBIII",VLOOKUP(D58,Sheet1!$A$4:$H$18,8,FALSE),IF(H57="",VLOOKUP(D58,Sheet1!$A$4:$H$18,2,FALSE),"0")))</f>
        <v>442</v>
      </c>
      <c r="W58" s="201">
        <f t="shared" si="66"/>
        <v>7033</v>
      </c>
      <c r="X58" s="208">
        <f t="shared" si="67"/>
        <v>10950</v>
      </c>
      <c r="Y58" s="171" t="str">
        <f t="shared" si="68"/>
        <v>SUCCESS</v>
      </c>
      <c r="Z58" s="171" t="str">
        <f t="shared" si="69"/>
        <v>SUCCESS</v>
      </c>
      <c r="AA58" s="185">
        <f t="shared" si="70"/>
        <v>145.28520692904249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504</v>
      </c>
      <c r="B59" s="113">
        <f t="shared" si="60"/>
        <v>20549</v>
      </c>
      <c r="C59" s="118">
        <f t="shared" si="74"/>
        <v>140.83000000000007</v>
      </c>
      <c r="D59" s="181" t="s">
        <v>6</v>
      </c>
      <c r="E59" s="182">
        <f>IF(H58="AFIII",VLOOKUP($D59,Sheet1!$A$34:$K$48,5,FALSE),IF(H58="UBIII",VLOOKUP($D59,Sheet1!$A$34:$K$48,8,FALSE),VLOOKUP($D59,Sheet1!$A$34:$K$48,2,FALSE)))</f>
        <v>2.86</v>
      </c>
      <c r="F59" s="182">
        <f>ROUNDDOWN((IF(H58="AFIII",VLOOKUP($D59,Sheet1!$A$34:$K$48,5,FALSE),IF(H58="UBIII",VLOOKUP($D59,Sheet1!$A$34:$K$48,8,FALSE),VLOOKUP($D59,Sheet1!$A$34:$K$48,2,FALSE))))*0.85,2)</f>
        <v>2.4300000000000002</v>
      </c>
      <c r="G59" s="182">
        <f t="shared" si="62"/>
        <v>2.86</v>
      </c>
      <c r="H59" s="183" t="s">
        <v>84</v>
      </c>
      <c r="I59" s="182">
        <f>I58-G59</f>
        <v>7.1400000000000006</v>
      </c>
      <c r="K59" s="182">
        <f t="shared" si="76"/>
        <v>19.75</v>
      </c>
      <c r="L59" s="182">
        <f t="shared" si="73"/>
        <v>60.42</v>
      </c>
      <c r="O59" s="182">
        <f t="shared" si="64"/>
        <v>20.39</v>
      </c>
      <c r="Q59" s="182">
        <f t="shared" si="77"/>
        <v>12.89</v>
      </c>
      <c r="R59" s="182">
        <f t="shared" si="75"/>
        <v>36.14</v>
      </c>
      <c r="U59" s="184">
        <f t="shared" si="65"/>
        <v>15.509999999999948</v>
      </c>
      <c r="V59" s="201">
        <f>IF(H58="AFIII",VLOOKUP(D59,Sheet1!$A$4:$H$18,5,FALSE),IF(H58="UBIII",VLOOKUP(D59,Sheet1!$A$4:$H$18,8,FALSE),IF(H58="",VLOOKUP(D59,Sheet1!$A$4:$H$18,2,FALSE),"0")))</f>
        <v>1768</v>
      </c>
      <c r="W59" s="201">
        <f t="shared" si="66"/>
        <v>0</v>
      </c>
      <c r="X59" s="208">
        <f t="shared" si="67"/>
        <v>9182</v>
      </c>
      <c r="Y59" s="171" t="str">
        <f t="shared" si="68"/>
        <v>SUCCESS</v>
      </c>
      <c r="Z59" s="171" t="str">
        <f t="shared" si="69"/>
        <v>SUCCESS</v>
      </c>
      <c r="AA59" s="185">
        <f t="shared" si="70"/>
        <v>145.91351274586373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504</v>
      </c>
      <c r="B60" s="113">
        <f t="shared" si="60"/>
        <v>21053</v>
      </c>
      <c r="C60" s="118">
        <f t="shared" si="74"/>
        <v>143.69000000000008</v>
      </c>
      <c r="D60" s="181" t="s">
        <v>6</v>
      </c>
      <c r="E60" s="182">
        <f>IF(H59="AFIII",VLOOKUP($D60,Sheet1!$A$34:$K$48,5,FALSE),IF(H59="UBIII",VLOOKUP($D60,Sheet1!$A$34:$K$48,8,FALSE),VLOOKUP($D60,Sheet1!$A$34:$K$48,2,FALSE)))</f>
        <v>2.86</v>
      </c>
      <c r="F60" s="182">
        <f>ROUNDDOWN((IF(H59="AFIII",VLOOKUP($D60,Sheet1!$A$34:$K$48,5,FALSE),IF(H59="UBIII",VLOOKUP($D60,Sheet1!$A$34:$K$48,8,FALSE),VLOOKUP($D60,Sheet1!$A$34:$K$48,2,FALSE))))*0.85,2)</f>
        <v>2.4300000000000002</v>
      </c>
      <c r="G60" s="182">
        <f t="shared" si="62"/>
        <v>2.86</v>
      </c>
      <c r="H60" s="183" t="s">
        <v>84</v>
      </c>
      <c r="I60" s="182">
        <f t="shared" ref="I60" si="78">I59-G60</f>
        <v>4.2800000000000011</v>
      </c>
      <c r="K60" s="182">
        <f t="shared" si="76"/>
        <v>16.89</v>
      </c>
      <c r="L60" s="182">
        <f t="shared" si="73"/>
        <v>57.56</v>
      </c>
      <c r="O60" s="182">
        <f t="shared" si="64"/>
        <v>17.53</v>
      </c>
      <c r="Q60" s="182">
        <f t="shared" si="77"/>
        <v>10.030000000000001</v>
      </c>
      <c r="R60" s="182">
        <f t="shared" si="75"/>
        <v>33.28</v>
      </c>
      <c r="U60" s="184">
        <f t="shared" si="65"/>
        <v>12.649999999999949</v>
      </c>
      <c r="V60" s="201">
        <f>IF(H59="AFIII",VLOOKUP(D60,Sheet1!$A$4:$H$18,5,FALSE),IF(H59="UBIII",VLOOKUP(D60,Sheet1!$A$4:$H$18,8,FALSE),IF(H59="",VLOOKUP(D60,Sheet1!$A$4:$H$18,2,FALSE),"0")))</f>
        <v>1768</v>
      </c>
      <c r="W60" s="201">
        <f t="shared" si="66"/>
        <v>0</v>
      </c>
      <c r="X60" s="208">
        <f t="shared" si="67"/>
        <v>7414</v>
      </c>
      <c r="Y60" s="171" t="str">
        <f t="shared" si="68"/>
        <v>SUCCESS</v>
      </c>
      <c r="Z60" s="171" t="str">
        <f t="shared" si="69"/>
        <v>SUCCESS</v>
      </c>
      <c r="AA60" s="185">
        <f t="shared" si="70"/>
        <v>146.51680701510188</v>
      </c>
    </row>
    <row r="61" spans="1:27">
      <c r="A61" s="11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324</v>
      </c>
      <c r="B61" s="113">
        <f t="shared" si="60"/>
        <v>21377</v>
      </c>
      <c r="C61" s="118">
        <f t="shared" si="74"/>
        <v>146.08000000000007</v>
      </c>
      <c r="D61" s="181" t="s">
        <v>1</v>
      </c>
      <c r="E61" s="182">
        <f>IF(H60="AFIII",VLOOKUP($D61,Sheet1!$A$34:$K$48,5,FALSE),IF(H60="UBIII",VLOOKUP($D61,Sheet1!$A$34:$K$48,8,FALSE),VLOOKUP($D61,Sheet1!$A$34:$K$48,2,FALSE)))</f>
        <v>2.39</v>
      </c>
      <c r="F61" s="182">
        <f>ROUNDDOWN((IF(H60="AFIII",VLOOKUP($D61,Sheet1!$A$34:$K$48,5,FALSE),IF(H60="UBIII",VLOOKUP($D61,Sheet1!$A$34:$K$48,8,FALSE),VLOOKUP($D61,Sheet1!$A$34:$K$48,2,FALSE))))*0.85,2)</f>
        <v>2.0299999999999998</v>
      </c>
      <c r="G61" s="182">
        <f t="shared" si="62"/>
        <v>2.39</v>
      </c>
      <c r="H61" s="183" t="s">
        <v>84</v>
      </c>
      <c r="I61" s="182">
        <v>10</v>
      </c>
      <c r="K61" s="182">
        <f t="shared" si="76"/>
        <v>14.5</v>
      </c>
      <c r="L61" s="182">
        <f t="shared" si="73"/>
        <v>55.17</v>
      </c>
      <c r="O61" s="182">
        <f>O60-G61</f>
        <v>15.14</v>
      </c>
      <c r="Q61" s="182">
        <f t="shared" si="77"/>
        <v>7.6400000000000006</v>
      </c>
      <c r="R61" s="182">
        <f t="shared" si="75"/>
        <v>30.89</v>
      </c>
      <c r="U61" s="184">
        <f t="shared" si="65"/>
        <v>10.259999999999948</v>
      </c>
      <c r="V61" s="201">
        <f>IF(H60="AFIII",VLOOKUP(D61,Sheet1!$A$4:$H$18,5,FALSE),IF(H60="UBIII",VLOOKUP(D61,Sheet1!$A$4:$H$18,8,FALSE),IF(H60="",VLOOKUP(D61,Sheet1!$A$4:$H$18,2,FALSE),"0")))</f>
        <v>2120</v>
      </c>
      <c r="W61" s="201">
        <f t="shared" si="66"/>
        <v>0</v>
      </c>
      <c r="X61" s="208">
        <f t="shared" si="67"/>
        <v>5294</v>
      </c>
      <c r="Y61" s="171" t="str">
        <f t="shared" si="68"/>
        <v>SUCCESS</v>
      </c>
      <c r="Z61" s="171" t="str">
        <f t="shared" si="69"/>
        <v>SUCCESS</v>
      </c>
      <c r="AA61" s="185">
        <f t="shared" si="70"/>
        <v>146.33762322015326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504</v>
      </c>
      <c r="B62" s="113">
        <f t="shared" si="60"/>
        <v>21881</v>
      </c>
      <c r="C62" s="118">
        <f t="shared" si="74"/>
        <v>148.94000000000008</v>
      </c>
      <c r="D62" s="181" t="s">
        <v>6</v>
      </c>
      <c r="E62" s="182">
        <f>IF(H61="AFIII",VLOOKUP($D62,Sheet1!$A$34:$K$48,5,FALSE),IF(H61="UBIII",VLOOKUP($D62,Sheet1!$A$34:$K$48,8,FALSE),VLOOKUP($D62,Sheet1!$A$34:$K$48,2,FALSE)))</f>
        <v>2.86</v>
      </c>
      <c r="F62" s="182">
        <f>ROUNDDOWN((IF(H61="AFIII",VLOOKUP($D62,Sheet1!$A$34:$K$48,5,FALSE),IF(H61="UBIII",VLOOKUP($D62,Sheet1!$A$34:$K$48,8,FALSE),VLOOKUP($D62,Sheet1!$A$34:$K$48,2,FALSE))))*0.85,2)</f>
        <v>2.4300000000000002</v>
      </c>
      <c r="G62" s="182">
        <f t="shared" si="62"/>
        <v>2.86</v>
      </c>
      <c r="H62" s="183" t="s">
        <v>84</v>
      </c>
      <c r="I62" s="182">
        <f t="shared" ref="I62:I63" si="79">I61-G62</f>
        <v>7.1400000000000006</v>
      </c>
      <c r="K62" s="182">
        <f>K61-G62</f>
        <v>11.64</v>
      </c>
      <c r="L62" s="182">
        <f t="shared" si="73"/>
        <v>52.31</v>
      </c>
      <c r="O62" s="182">
        <f t="shared" ref="O62:O68" si="80">O61-G62</f>
        <v>12.280000000000001</v>
      </c>
      <c r="Q62" s="182">
        <f t="shared" si="77"/>
        <v>4.7800000000000011</v>
      </c>
      <c r="R62" s="182">
        <f t="shared" si="75"/>
        <v>28.03</v>
      </c>
      <c r="U62" s="184">
        <f t="shared" si="65"/>
        <v>7.3999999999999488</v>
      </c>
      <c r="V62" s="201">
        <f>IF(H61="AFIII",VLOOKUP(D62,Sheet1!$A$4:$H$18,5,FALSE),IF(H61="UBIII",VLOOKUP(D62,Sheet1!$A$4:$H$18,8,FALSE),IF(H61="",VLOOKUP(D62,Sheet1!$A$4:$H$18,2,FALSE),"0")))</f>
        <v>1768</v>
      </c>
      <c r="W62" s="201">
        <f t="shared" si="66"/>
        <v>0</v>
      </c>
      <c r="X62" s="208">
        <f t="shared" si="67"/>
        <v>3526</v>
      </c>
      <c r="Y62" s="171" t="str">
        <f t="shared" si="68"/>
        <v>SUCCESS</v>
      </c>
      <c r="Z62" s="171" t="str">
        <f t="shared" si="69"/>
        <v>SUCCESS</v>
      </c>
      <c r="AA62" s="185">
        <f t="shared" si="70"/>
        <v>146.91150798979447</v>
      </c>
    </row>
    <row r="63" spans="1:27">
      <c r="A63" s="112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504</v>
      </c>
      <c r="B63" s="113">
        <f t="shared" si="60"/>
        <v>22385</v>
      </c>
      <c r="C63" s="118">
        <f t="shared" si="74"/>
        <v>151.8000000000001</v>
      </c>
      <c r="D63" s="181" t="s">
        <v>6</v>
      </c>
      <c r="E63" s="182">
        <f>IF(H62="AFIII",VLOOKUP($D63,Sheet1!$A$34:$K$48,5,FALSE),IF(H62="UBIII",VLOOKUP($D63,Sheet1!$A$34:$K$48,8,FALSE),VLOOKUP($D63,Sheet1!$A$34:$K$48,2,FALSE)))</f>
        <v>2.86</v>
      </c>
      <c r="F63" s="182">
        <f>ROUNDDOWN((IF(H62="AFIII",VLOOKUP($D63,Sheet1!$A$34:$K$48,5,FALSE),IF(H62="UBIII",VLOOKUP($D63,Sheet1!$A$34:$K$48,8,FALSE),VLOOKUP($D63,Sheet1!$A$34:$K$48,2,FALSE))))*0.85,2)</f>
        <v>2.4300000000000002</v>
      </c>
      <c r="G63" s="182">
        <f>IF(M62="迅速",IF(S62="黒魔紋",$F$1,$E$1),IF(S62="黒魔紋",IF(F63&lt;$F$1,$F$1,F63),IF(E63&lt;$E$1,$E$1,E63)))</f>
        <v>2.86</v>
      </c>
      <c r="H63" s="183" t="s">
        <v>84</v>
      </c>
      <c r="I63" s="182">
        <f t="shared" si="79"/>
        <v>4.2800000000000011</v>
      </c>
      <c r="K63" s="182">
        <f t="shared" ref="K63:K65" si="81">K62-G63</f>
        <v>8.7800000000000011</v>
      </c>
      <c r="L63" s="182">
        <f t="shared" si="73"/>
        <v>49.45</v>
      </c>
      <c r="O63" s="182">
        <f t="shared" si="80"/>
        <v>9.4200000000000017</v>
      </c>
      <c r="Q63" s="182">
        <f t="shared" si="77"/>
        <v>1.9200000000000013</v>
      </c>
      <c r="R63" s="182">
        <f t="shared" si="75"/>
        <v>25.17</v>
      </c>
      <c r="U63" s="184">
        <f t="shared" si="65"/>
        <v>4.5399999999999494</v>
      </c>
      <c r="V63" s="201">
        <f>IF(H62="AFIII",VLOOKUP(D63,Sheet1!$A$4:$H$18,5,FALSE),IF(H62="UBIII",VLOOKUP(D63,Sheet1!$A$4:$H$18,8,FALSE),IF(H62="",VLOOKUP(D63,Sheet1!$A$4:$H$18,2,FALSE),"0")))</f>
        <v>1768</v>
      </c>
      <c r="W63" s="201">
        <f t="shared" si="66"/>
        <v>0</v>
      </c>
      <c r="X63" s="208">
        <f t="shared" si="67"/>
        <v>1758</v>
      </c>
      <c r="Y63" s="171" t="str">
        <f t="shared" si="68"/>
        <v>SUCCESS</v>
      </c>
      <c r="Z63" s="171" t="str">
        <f t="shared" si="69"/>
        <v>SUCCESS</v>
      </c>
      <c r="AA63" s="185">
        <f t="shared" si="70"/>
        <v>147.46376811594195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168</v>
      </c>
      <c r="B64" s="113">
        <f t="shared" si="60"/>
        <v>22553</v>
      </c>
      <c r="C64" s="118">
        <f t="shared" si="74"/>
        <v>154.19000000000008</v>
      </c>
      <c r="D64" s="181" t="s">
        <v>12</v>
      </c>
      <c r="E64" s="182">
        <f>IF(H63="AFIII",VLOOKUP($D64,Sheet1!$A$34:$K$48,5,FALSE),IF(H63="UBIII",VLOOKUP($D64,Sheet1!$A$34:$K$48,8,FALSE),VLOOKUP($D64,Sheet1!$A$34:$K$48,2,FALSE)))</f>
        <v>1.67</v>
      </c>
      <c r="F64" s="182">
        <f>ROUNDDOWN((IF(H63="AFIII",VLOOKUP($D64,Sheet1!$A$34:$K$48,5,FALSE),IF(H63="UBIII",VLOOKUP($D64,Sheet1!$A$34:$K$48,8,FALSE),VLOOKUP($D64,Sheet1!$A$34:$K$48,2,FALSE))))*0.85,2)</f>
        <v>1.41</v>
      </c>
      <c r="G64" s="182">
        <f t="shared" ref="G64:G81" si="82">IF(M63="迅速",IF(S63="黒魔紋",$F$1,$E$1),IF(S63="黒魔紋",IF(F64&lt;$F$1,$F$1,F64),IF(E64&lt;$E$1,$E$1,E64)))</f>
        <v>2.39</v>
      </c>
      <c r="H64" s="183" t="s">
        <v>122</v>
      </c>
      <c r="I64" s="182">
        <v>10</v>
      </c>
      <c r="K64" s="182">
        <f t="shared" si="81"/>
        <v>6.3900000000000006</v>
      </c>
      <c r="L64" s="182">
        <f t="shared" si="73"/>
        <v>47.06</v>
      </c>
      <c r="O64" s="182">
        <f t="shared" si="80"/>
        <v>7.0300000000000011</v>
      </c>
      <c r="Q64" s="182">
        <f t="shared" si="77"/>
        <v>-0.46999999999999886</v>
      </c>
      <c r="R64" s="182">
        <f t="shared" si="75"/>
        <v>22.78</v>
      </c>
      <c r="U64" s="184">
        <f t="shared" si="65"/>
        <v>2.1499999999999493</v>
      </c>
      <c r="V64" s="201">
        <f>IF(H63="AFIII",VLOOKUP(D64,Sheet1!$A$4:$H$18,5,FALSE),IF(H63="UBIII",VLOOKUP(D64,Sheet1!$A$4:$H$18,8,FALSE),IF(H63="",VLOOKUP(D64,Sheet1!$A$4:$H$18,2,FALSE),"0")))</f>
        <v>265</v>
      </c>
      <c r="W64" s="201">
        <f t="shared" si="66"/>
        <v>0</v>
      </c>
      <c r="X64" s="208">
        <f t="shared" si="67"/>
        <v>1493</v>
      </c>
      <c r="Y64" s="171" t="str">
        <f t="shared" si="68"/>
        <v>SUCCESS</v>
      </c>
      <c r="Z64" s="171" t="str">
        <f t="shared" si="69"/>
        <v>SUCCESS</v>
      </c>
      <c r="AA64" s="185">
        <f t="shared" si="70"/>
        <v>146.26759193203182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295</v>
      </c>
      <c r="B65" s="113">
        <f t="shared" si="60"/>
        <v>22848</v>
      </c>
      <c r="C65" s="118">
        <f t="shared" si="74"/>
        <v>157.0500000000001</v>
      </c>
      <c r="D65" s="181" t="s">
        <v>19</v>
      </c>
      <c r="E65" s="182">
        <f>IF(H64="AFIII",VLOOKUP($D65,Sheet1!$A$34:$K$48,5,FALSE),IF(H64="UBIII",VLOOKUP($D65,Sheet1!$A$34:$K$48,8,FALSE),VLOOKUP($D65,Sheet1!$A$34:$K$48,2,FALSE)))</f>
        <v>2.86</v>
      </c>
      <c r="F65" s="182">
        <f>ROUNDDOWN((IF(H64="AFIII",VLOOKUP($D65,Sheet1!$A$34:$K$48,5,FALSE),IF(H64="UBIII",VLOOKUP($D65,Sheet1!$A$34:$K$48,8,FALSE),VLOOKUP($D65,Sheet1!$A$34:$K$48,2,FALSE))))*0.85,2)</f>
        <v>2.4300000000000002</v>
      </c>
      <c r="G65" s="182">
        <f t="shared" si="82"/>
        <v>2.86</v>
      </c>
      <c r="H65" s="183" t="s">
        <v>122</v>
      </c>
      <c r="I65" s="182">
        <f t="shared" ref="I65:I66" si="83">I64-G65</f>
        <v>7.1400000000000006</v>
      </c>
      <c r="K65" s="182">
        <f t="shared" si="81"/>
        <v>3.5300000000000007</v>
      </c>
      <c r="L65" s="182">
        <f t="shared" si="73"/>
        <v>44.2</v>
      </c>
      <c r="O65" s="182">
        <f t="shared" si="80"/>
        <v>4.1700000000000017</v>
      </c>
      <c r="R65" s="182">
        <f t="shared" si="75"/>
        <v>19.920000000000002</v>
      </c>
      <c r="U65" s="184">
        <f t="shared" si="65"/>
        <v>-0.71000000000005059</v>
      </c>
      <c r="V65" s="201">
        <f>IF(H64="AFIII",VLOOKUP(D65,Sheet1!$A$4:$H$18,5,FALSE),IF(H64="UBIII",VLOOKUP(D65,Sheet1!$A$4:$H$18,8,FALSE),IF(H64="",VLOOKUP(D65,Sheet1!$A$4:$H$18,2,FALSE),"0")))</f>
        <v>1060</v>
      </c>
      <c r="W65" s="201">
        <f t="shared" si="66"/>
        <v>7033</v>
      </c>
      <c r="X65" s="208">
        <f t="shared" si="67"/>
        <v>7466</v>
      </c>
      <c r="Y65" s="171" t="str">
        <f t="shared" si="68"/>
        <v>SUCCESS</v>
      </c>
      <c r="Z65" s="171" t="str">
        <f t="shared" si="69"/>
        <v>SUCCESS</v>
      </c>
      <c r="AA65" s="185">
        <f t="shared" si="70"/>
        <v>145.48233046800374</v>
      </c>
    </row>
    <row r="66" spans="1:27">
      <c r="A66" s="119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280</v>
      </c>
      <c r="B66" s="120">
        <f t="shared" si="60"/>
        <v>23128</v>
      </c>
      <c r="C66" s="121">
        <f t="shared" si="74"/>
        <v>159.91000000000011</v>
      </c>
      <c r="D66" s="191" t="s">
        <v>14</v>
      </c>
      <c r="E66" s="192">
        <f>IF(H65="AFIII",VLOOKUP($D66,Sheet1!$A$34:$K$48,5,FALSE),IF(H65="UBIII",VLOOKUP($D66,Sheet1!$A$34:$K$48,8,FALSE),VLOOKUP($D66,Sheet1!$A$34:$K$48,2,FALSE)))</f>
        <v>2.86</v>
      </c>
      <c r="F66" s="192">
        <f>ROUNDDOWN((IF(H65="AFIII",VLOOKUP($D66,Sheet1!$A$34:$K$48,5,FALSE),IF(H65="UBIII",VLOOKUP($D66,Sheet1!$A$34:$K$48,8,FALSE),VLOOKUP($D66,Sheet1!$A$34:$K$48,2,FALSE))))*0.85,2)</f>
        <v>2.4300000000000002</v>
      </c>
      <c r="G66" s="192">
        <f t="shared" si="82"/>
        <v>2.86</v>
      </c>
      <c r="H66" s="193" t="s">
        <v>122</v>
      </c>
      <c r="I66" s="192">
        <f t="shared" si="83"/>
        <v>4.2800000000000011</v>
      </c>
      <c r="J66" s="193"/>
      <c r="K66" s="192">
        <v>20</v>
      </c>
      <c r="L66" s="192">
        <f t="shared" si="73"/>
        <v>41.34</v>
      </c>
      <c r="M66" s="193"/>
      <c r="N66" s="192"/>
      <c r="O66" s="192">
        <f t="shared" si="80"/>
        <v>1.3100000000000018</v>
      </c>
      <c r="P66" s="193"/>
      <c r="Q66" s="192"/>
      <c r="R66" s="192">
        <f t="shared" si="75"/>
        <v>17.060000000000002</v>
      </c>
      <c r="S66" s="193"/>
      <c r="T66" s="192"/>
      <c r="U66" s="194">
        <f t="shared" si="65"/>
        <v>-3.5700000000000505</v>
      </c>
      <c r="V66" s="211">
        <f>IF(H65="AFIII",VLOOKUP(D66,Sheet1!$A$4:$H$18,5,FALSE),IF(H65="UBIII",VLOOKUP(D66,Sheet1!$A$4:$H$18,8,FALSE),IF(H65="",VLOOKUP(D66,Sheet1!$A$4:$H$18,2,FALSE),"0")))</f>
        <v>884</v>
      </c>
      <c r="W66" s="211">
        <f t="shared" si="66"/>
        <v>7033</v>
      </c>
      <c r="X66" s="212">
        <f t="shared" si="67"/>
        <v>10508</v>
      </c>
      <c r="Y66" s="195" t="str">
        <f t="shared" si="68"/>
        <v>SUCCESS</v>
      </c>
      <c r="Z66" s="195" t="str">
        <f t="shared" si="69"/>
        <v>SUCCESS</v>
      </c>
      <c r="AA66" s="185">
        <f t="shared" si="70"/>
        <v>144.63135513726462</v>
      </c>
    </row>
    <row r="67" spans="1:27">
      <c r="A67" s="112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168</v>
      </c>
      <c r="B67" s="113">
        <f t="shared" si="60"/>
        <v>23296</v>
      </c>
      <c r="C67" s="118">
        <f t="shared" si="74"/>
        <v>162.3000000000001</v>
      </c>
      <c r="D67" s="181" t="s">
        <v>4</v>
      </c>
      <c r="E67" s="182">
        <f>IF(H66="AFIII",VLOOKUP($D67,Sheet1!$A$34:$K$48,5,FALSE),IF(H66="UBIII",VLOOKUP($D67,Sheet1!$A$34:$K$48,8,FALSE),VLOOKUP($D67,Sheet1!$A$34:$K$48,2,FALSE)))</f>
        <v>1.67</v>
      </c>
      <c r="F67" s="182">
        <f>ROUNDDOWN((IF(H66="AFIII",VLOOKUP($D67,Sheet1!$A$34:$K$48,5,FALSE),IF(H66="UBIII",VLOOKUP($D67,Sheet1!$A$34:$K$48,8,FALSE),VLOOKUP($D67,Sheet1!$A$34:$K$48,2,FALSE))))*0.85,2)</f>
        <v>1.41</v>
      </c>
      <c r="G67" s="182">
        <f t="shared" si="82"/>
        <v>2.39</v>
      </c>
      <c r="H67" s="183" t="s">
        <v>84</v>
      </c>
      <c r="I67" s="182">
        <v>10</v>
      </c>
      <c r="K67" s="182">
        <f t="shared" ref="K67:K72" si="84">K66-G67</f>
        <v>17.61</v>
      </c>
      <c r="L67" s="182">
        <f t="shared" si="73"/>
        <v>38.950000000000003</v>
      </c>
      <c r="M67" s="183" t="s">
        <v>135</v>
      </c>
      <c r="O67" s="182">
        <f t="shared" si="80"/>
        <v>-1.0799999999999983</v>
      </c>
      <c r="R67" s="182">
        <f t="shared" si="75"/>
        <v>14.670000000000002</v>
      </c>
      <c r="S67" s="183" t="s">
        <v>87</v>
      </c>
      <c r="T67" s="182">
        <v>30</v>
      </c>
      <c r="U67" s="184">
        <v>90</v>
      </c>
      <c r="V67" s="201">
        <f>IF(H66="AFIII",VLOOKUP(D67,Sheet1!$A$4:$H$18,5,FALSE),IF(H66="UBIII",VLOOKUP(D67,Sheet1!$A$4:$H$18,8,FALSE),IF(H66="",VLOOKUP(D67,Sheet1!$A$4:$H$18,2,FALSE),"0")))</f>
        <v>442</v>
      </c>
      <c r="W67" s="201">
        <f t="shared" si="66"/>
        <v>7033</v>
      </c>
      <c r="X67" s="208">
        <f t="shared" si="67"/>
        <v>10950</v>
      </c>
      <c r="Y67" s="171" t="str">
        <f t="shared" si="68"/>
        <v>SUCCESS</v>
      </c>
      <c r="Z67" s="171" t="str">
        <f t="shared" si="69"/>
        <v>SUCCESS</v>
      </c>
      <c r="AA67" s="185">
        <f t="shared" si="70"/>
        <v>143.53666050523714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504</v>
      </c>
      <c r="B68" s="113">
        <f t="shared" si="60"/>
        <v>23800</v>
      </c>
      <c r="C68" s="118">
        <f t="shared" si="74"/>
        <v>164.7300000000001</v>
      </c>
      <c r="D68" s="181" t="s">
        <v>6</v>
      </c>
      <c r="E68" s="182">
        <f>IF(H67="AFIII",VLOOKUP($D68,Sheet1!$A$34:$K$48,5,FALSE),IF(H67="UBIII",VLOOKUP($D68,Sheet1!$A$34:$K$48,8,FALSE),VLOOKUP($D68,Sheet1!$A$34:$K$48,2,FALSE)))</f>
        <v>2.86</v>
      </c>
      <c r="F68" s="182">
        <f>ROUNDDOWN((IF(H67="AFIII",VLOOKUP($D68,Sheet1!$A$34:$K$48,5,FALSE),IF(H67="UBIII",VLOOKUP($D68,Sheet1!$A$34:$K$48,8,FALSE),VLOOKUP($D68,Sheet1!$A$34:$K$48,2,FALSE))))*0.85,2)</f>
        <v>2.4300000000000002</v>
      </c>
      <c r="G68" s="182">
        <f t="shared" si="82"/>
        <v>2.4300000000000002</v>
      </c>
      <c r="H68" s="183" t="s">
        <v>84</v>
      </c>
      <c r="I68" s="182">
        <f t="shared" ref="I68:I69" si="85">I67-G68</f>
        <v>7.57</v>
      </c>
      <c r="K68" s="182">
        <f t="shared" si="84"/>
        <v>15.18</v>
      </c>
      <c r="L68" s="182">
        <f t="shared" si="73"/>
        <v>36.520000000000003</v>
      </c>
      <c r="O68" s="182">
        <f t="shared" si="80"/>
        <v>-3.5099999999999985</v>
      </c>
      <c r="R68" s="182">
        <f t="shared" si="75"/>
        <v>12.240000000000002</v>
      </c>
      <c r="S68" s="183" t="s">
        <v>87</v>
      </c>
      <c r="T68" s="182">
        <f t="shared" ref="T68:T80" si="86">T67-G68</f>
        <v>27.57</v>
      </c>
      <c r="U68" s="184">
        <f t="shared" ref="U68:U81" si="87">U67-G68</f>
        <v>87.57</v>
      </c>
      <c r="V68" s="201">
        <f>IF(H67="AFIII",VLOOKUP(D68,Sheet1!$A$4:$H$18,5,FALSE),IF(H67="UBIII",VLOOKUP(D68,Sheet1!$A$4:$H$18,8,FALSE),IF(H67="",VLOOKUP(D68,Sheet1!$A$4:$H$18,2,FALSE),"0")))</f>
        <v>1768</v>
      </c>
      <c r="W68" s="201">
        <f t="shared" si="66"/>
        <v>0</v>
      </c>
      <c r="X68" s="208">
        <f t="shared" si="67"/>
        <v>9182</v>
      </c>
      <c r="Y68" s="171" t="str">
        <f t="shared" si="68"/>
        <v>SUCCESS</v>
      </c>
      <c r="Z68" s="171" t="str">
        <f t="shared" si="69"/>
        <v>SUCCESS</v>
      </c>
      <c r="AA68" s="185">
        <f t="shared" si="70"/>
        <v>144.47884416924654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504</v>
      </c>
      <c r="B69" s="113">
        <f t="shared" si="60"/>
        <v>24304</v>
      </c>
      <c r="C69" s="118">
        <f t="shared" si="74"/>
        <v>167.16000000000011</v>
      </c>
      <c r="D69" s="181" t="s">
        <v>6</v>
      </c>
      <c r="E69" s="182">
        <f>IF(H68="AFIII",VLOOKUP($D69,Sheet1!$A$34:$K$48,5,FALSE),IF(H68="UBIII",VLOOKUP($D69,Sheet1!$A$34:$K$48,8,FALSE),VLOOKUP($D69,Sheet1!$A$34:$K$48,2,FALSE)))</f>
        <v>2.86</v>
      </c>
      <c r="F69" s="182">
        <f>ROUNDDOWN((IF(H68="AFIII",VLOOKUP($D69,Sheet1!$A$34:$K$48,5,FALSE),IF(H68="UBIII",VLOOKUP($D69,Sheet1!$A$34:$K$48,8,FALSE),VLOOKUP($D69,Sheet1!$A$34:$K$48,2,FALSE))))*0.85,2)</f>
        <v>2.4300000000000002</v>
      </c>
      <c r="G69" s="182">
        <f t="shared" si="82"/>
        <v>2.4300000000000002</v>
      </c>
      <c r="H69" s="183" t="s">
        <v>84</v>
      </c>
      <c r="I69" s="182">
        <f t="shared" si="85"/>
        <v>5.1400000000000006</v>
      </c>
      <c r="K69" s="182">
        <f t="shared" si="84"/>
        <v>12.75</v>
      </c>
      <c r="L69" s="182">
        <f t="shared" si="73"/>
        <v>34.090000000000003</v>
      </c>
      <c r="R69" s="182">
        <f t="shared" si="75"/>
        <v>9.8100000000000023</v>
      </c>
      <c r="S69" s="183" t="s">
        <v>87</v>
      </c>
      <c r="T69" s="182">
        <f t="shared" si="86"/>
        <v>25.14</v>
      </c>
      <c r="U69" s="184">
        <f t="shared" si="87"/>
        <v>85.139999999999986</v>
      </c>
      <c r="V69" s="201">
        <f>IF(H68="AFIII",VLOOKUP(D69,Sheet1!$A$4:$H$18,5,FALSE),IF(H68="UBIII",VLOOKUP(D69,Sheet1!$A$4:$H$18,8,FALSE),IF(H68="",VLOOKUP(D69,Sheet1!$A$4:$H$18,2,FALSE),"0")))</f>
        <v>1768</v>
      </c>
      <c r="W69" s="201">
        <f t="shared" si="66"/>
        <v>0</v>
      </c>
      <c r="X69" s="208">
        <f t="shared" si="67"/>
        <v>7414</v>
      </c>
      <c r="Y69" s="171" t="str">
        <f t="shared" si="68"/>
        <v>SUCCESS</v>
      </c>
      <c r="Z69" s="171" t="str">
        <f t="shared" si="69"/>
        <v>SUCCESS</v>
      </c>
      <c r="AA69" s="185">
        <f t="shared" si="70"/>
        <v>145.39363484087093</v>
      </c>
    </row>
    <row r="70" spans="1:27">
      <c r="A70" s="112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324</v>
      </c>
      <c r="B70" s="113">
        <f t="shared" si="60"/>
        <v>24628</v>
      </c>
      <c r="C70" s="118">
        <f t="shared" si="74"/>
        <v>169.19000000000011</v>
      </c>
      <c r="D70" s="181" t="s">
        <v>1</v>
      </c>
      <c r="E70" s="182">
        <f>IF(H69="AFIII",VLOOKUP($D70,Sheet1!$A$34:$K$48,5,FALSE),IF(H69="UBIII",VLOOKUP($D70,Sheet1!$A$34:$K$48,8,FALSE),VLOOKUP($D70,Sheet1!$A$34:$K$48,2,FALSE)))</f>
        <v>2.39</v>
      </c>
      <c r="F70" s="182">
        <f>ROUNDDOWN((IF(H69="AFIII",VLOOKUP($D70,Sheet1!$A$34:$K$48,5,FALSE),IF(H69="UBIII",VLOOKUP($D70,Sheet1!$A$34:$K$48,8,FALSE),VLOOKUP($D70,Sheet1!$A$34:$K$48,2,FALSE))))*0.85,2)</f>
        <v>2.0299999999999998</v>
      </c>
      <c r="G70" s="182">
        <f t="shared" si="82"/>
        <v>2.0299999999999998</v>
      </c>
      <c r="H70" s="183" t="s">
        <v>84</v>
      </c>
      <c r="I70" s="182">
        <v>10</v>
      </c>
      <c r="K70" s="182">
        <f t="shared" si="84"/>
        <v>10.72</v>
      </c>
      <c r="L70" s="182">
        <f t="shared" si="73"/>
        <v>32.06</v>
      </c>
      <c r="R70" s="182">
        <f t="shared" si="75"/>
        <v>7.7800000000000029</v>
      </c>
      <c r="S70" s="183" t="s">
        <v>87</v>
      </c>
      <c r="T70" s="182">
        <f t="shared" si="86"/>
        <v>23.11</v>
      </c>
      <c r="U70" s="184">
        <f t="shared" si="87"/>
        <v>83.109999999999985</v>
      </c>
      <c r="V70" s="201">
        <f>IF(H69="AFIII",VLOOKUP(D70,Sheet1!$A$4:$H$18,5,FALSE),IF(H69="UBIII",VLOOKUP(D70,Sheet1!$A$4:$H$18,8,FALSE),IF(H69="",VLOOKUP(D70,Sheet1!$A$4:$H$18,2,FALSE),"0")))</f>
        <v>2120</v>
      </c>
      <c r="W70" s="201">
        <f t="shared" si="66"/>
        <v>0</v>
      </c>
      <c r="X70" s="208">
        <f t="shared" si="67"/>
        <v>5294</v>
      </c>
      <c r="Y70" s="171" t="str">
        <f t="shared" si="68"/>
        <v>SUCCESS</v>
      </c>
      <c r="Z70" s="171" t="str">
        <f t="shared" si="69"/>
        <v>SUCCESS</v>
      </c>
      <c r="AA70" s="185">
        <f t="shared" si="70"/>
        <v>145.56415863821729</v>
      </c>
    </row>
    <row r="71" spans="1:27">
      <c r="A71" s="112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504</v>
      </c>
      <c r="B71" s="113">
        <f t="shared" si="60"/>
        <v>25132</v>
      </c>
      <c r="C71" s="118">
        <f t="shared" si="74"/>
        <v>171.62000000000012</v>
      </c>
      <c r="D71" s="181" t="s">
        <v>6</v>
      </c>
      <c r="E71" s="182">
        <f>IF(H70="AFIII",VLOOKUP($D71,Sheet1!$A$34:$K$48,5,FALSE),IF(H70="UBIII",VLOOKUP($D71,Sheet1!$A$34:$K$48,8,FALSE),VLOOKUP($D71,Sheet1!$A$34:$K$48,2,FALSE)))</f>
        <v>2.86</v>
      </c>
      <c r="F71" s="182">
        <f>ROUNDDOWN((IF(H70="AFIII",VLOOKUP($D71,Sheet1!$A$34:$K$48,5,FALSE),IF(H70="UBIII",VLOOKUP($D71,Sheet1!$A$34:$K$48,8,FALSE),VLOOKUP($D71,Sheet1!$A$34:$K$48,2,FALSE))))*0.85,2)</f>
        <v>2.4300000000000002</v>
      </c>
      <c r="G71" s="182">
        <f t="shared" si="82"/>
        <v>2.4300000000000002</v>
      </c>
      <c r="H71" s="183" t="s">
        <v>84</v>
      </c>
      <c r="I71" s="182">
        <f t="shared" ref="I71:I72" si="88">I70-G71</f>
        <v>7.57</v>
      </c>
      <c r="K71" s="182">
        <f t="shared" si="84"/>
        <v>8.2900000000000009</v>
      </c>
      <c r="L71" s="182">
        <f t="shared" si="73"/>
        <v>29.630000000000003</v>
      </c>
      <c r="R71" s="182">
        <f>R70-G71</f>
        <v>5.3500000000000032</v>
      </c>
      <c r="S71" s="183" t="s">
        <v>87</v>
      </c>
      <c r="T71" s="182">
        <f t="shared" si="86"/>
        <v>20.68</v>
      </c>
      <c r="U71" s="184">
        <f t="shared" si="87"/>
        <v>80.679999999999978</v>
      </c>
      <c r="V71" s="201">
        <f>IF(H70="AFIII",VLOOKUP(D71,Sheet1!$A$4:$H$18,5,FALSE),IF(H70="UBIII",VLOOKUP(D71,Sheet1!$A$4:$H$18,8,FALSE),IF(H70="",VLOOKUP(D71,Sheet1!$A$4:$H$18,2,FALSE),"0")))</f>
        <v>1768</v>
      </c>
      <c r="W71" s="201">
        <f t="shared" si="66"/>
        <v>0</v>
      </c>
      <c r="X71" s="208">
        <f t="shared" si="67"/>
        <v>3526</v>
      </c>
      <c r="Y71" s="171" t="str">
        <f t="shared" si="68"/>
        <v>SUCCESS</v>
      </c>
      <c r="Z71" s="171" t="str">
        <f t="shared" si="69"/>
        <v>SUCCESS</v>
      </c>
      <c r="AA71" s="185">
        <f t="shared" si="70"/>
        <v>146.4398088800838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504</v>
      </c>
      <c r="B72" s="113">
        <f t="shared" si="60"/>
        <v>25636</v>
      </c>
      <c r="C72" s="118">
        <f t="shared" si="74"/>
        <v>174.05000000000013</v>
      </c>
      <c r="D72" s="181" t="s">
        <v>6</v>
      </c>
      <c r="E72" s="182">
        <f>IF(H71="AFIII",VLOOKUP($D72,Sheet1!$A$34:$K$48,5,FALSE),IF(H71="UBIII",VLOOKUP($D72,Sheet1!$A$34:$K$48,8,FALSE),VLOOKUP($D72,Sheet1!$A$34:$K$48,2,FALSE)))</f>
        <v>2.86</v>
      </c>
      <c r="F72" s="182">
        <f>ROUNDDOWN((IF(H71="AFIII",VLOOKUP($D72,Sheet1!$A$34:$K$48,5,FALSE),IF(H71="UBIII",VLOOKUP($D72,Sheet1!$A$34:$K$48,8,FALSE),VLOOKUP($D72,Sheet1!$A$34:$K$48,2,FALSE))))*0.85,2)</f>
        <v>2.4300000000000002</v>
      </c>
      <c r="G72" s="182">
        <f t="shared" si="82"/>
        <v>2.4300000000000002</v>
      </c>
      <c r="H72" s="183" t="s">
        <v>84</v>
      </c>
      <c r="I72" s="182">
        <f t="shared" si="88"/>
        <v>5.1400000000000006</v>
      </c>
      <c r="K72" s="182">
        <f t="shared" si="84"/>
        <v>5.8600000000000012</v>
      </c>
      <c r="L72" s="182">
        <f t="shared" si="73"/>
        <v>27.200000000000003</v>
      </c>
      <c r="R72" s="182">
        <f t="shared" ref="R72:R74" si="89">R71-G72</f>
        <v>2.920000000000003</v>
      </c>
      <c r="S72" s="183" t="s">
        <v>87</v>
      </c>
      <c r="T72" s="182">
        <f t="shared" si="86"/>
        <v>18.25</v>
      </c>
      <c r="U72" s="184">
        <f t="shared" si="87"/>
        <v>78.249999999999972</v>
      </c>
      <c r="V72" s="201">
        <f>IF(H71="AFIII",VLOOKUP(D72,Sheet1!$A$4:$H$18,5,FALSE),IF(H71="UBIII",VLOOKUP(D72,Sheet1!$A$4:$H$18,8,FALSE),IF(H71="",VLOOKUP(D72,Sheet1!$A$4:$H$18,2,FALSE),"0")))</f>
        <v>1768</v>
      </c>
      <c r="W72" s="201">
        <f t="shared" si="66"/>
        <v>0</v>
      </c>
      <c r="X72" s="208">
        <f t="shared" si="67"/>
        <v>1758</v>
      </c>
      <c r="Y72" s="171" t="str">
        <f t="shared" si="68"/>
        <v>SUCCESS</v>
      </c>
      <c r="Z72" s="171" t="str">
        <f t="shared" si="69"/>
        <v>SUCCESS</v>
      </c>
      <c r="AA72" s="185">
        <f t="shared" si="70"/>
        <v>147.29100833093929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168</v>
      </c>
      <c r="B73" s="113">
        <f t="shared" si="60"/>
        <v>25804</v>
      </c>
      <c r="C73" s="118">
        <f t="shared" si="74"/>
        <v>176.08000000000013</v>
      </c>
      <c r="D73" s="181" t="s">
        <v>12</v>
      </c>
      <c r="E73" s="182">
        <f>IF(H72="AFIII",VLOOKUP($D73,Sheet1!$A$34:$K$48,5,FALSE),IF(H72="UBIII",VLOOKUP($D73,Sheet1!$A$34:$K$48,8,FALSE),VLOOKUP($D73,Sheet1!$A$34:$K$48,2,FALSE)))</f>
        <v>1.67</v>
      </c>
      <c r="F73" s="182">
        <f>ROUNDDOWN((IF(H72="AFIII",VLOOKUP($D73,Sheet1!$A$34:$K$48,5,FALSE),IF(H72="UBIII",VLOOKUP($D73,Sheet1!$A$34:$K$48,8,FALSE),VLOOKUP($D73,Sheet1!$A$34:$K$48,2,FALSE))))*0.85,2)</f>
        <v>1.41</v>
      </c>
      <c r="G73" s="182">
        <f t="shared" si="82"/>
        <v>2.0299999999999998</v>
      </c>
      <c r="H73" s="183" t="s">
        <v>122</v>
      </c>
      <c r="I73" s="182">
        <v>10</v>
      </c>
      <c r="K73" s="182">
        <f>K72-G73</f>
        <v>3.8300000000000014</v>
      </c>
      <c r="L73" s="182">
        <f t="shared" si="73"/>
        <v>25.17</v>
      </c>
      <c r="P73" s="183" t="s">
        <v>136</v>
      </c>
      <c r="R73" s="182">
        <f t="shared" si="89"/>
        <v>0.89000000000000323</v>
      </c>
      <c r="S73" s="183" t="s">
        <v>87</v>
      </c>
      <c r="T73" s="182">
        <f t="shared" si="86"/>
        <v>16.22</v>
      </c>
      <c r="U73" s="184">
        <f t="shared" si="87"/>
        <v>76.21999999999997</v>
      </c>
      <c r="V73" s="201">
        <f>IF(H72="AFIII",VLOOKUP(D73,Sheet1!$A$4:$H$18,5,FALSE),IF(H72="UBIII",VLOOKUP(D73,Sheet1!$A$4:$H$18,8,FALSE),IF(H72="",VLOOKUP(D73,Sheet1!$A$4:$H$18,2,FALSE),"0")))</f>
        <v>265</v>
      </c>
      <c r="W73" s="201">
        <f t="shared" si="66"/>
        <v>0</v>
      </c>
      <c r="X73" s="208">
        <f t="shared" si="67"/>
        <v>1493</v>
      </c>
      <c r="Y73" s="171" t="str">
        <f t="shared" si="68"/>
        <v>SUCCESS</v>
      </c>
      <c r="Z73" s="171" t="str">
        <f t="shared" si="69"/>
        <v>SUCCESS</v>
      </c>
      <c r="AA73" s="185">
        <f t="shared" si="70"/>
        <v>146.54702407996353</v>
      </c>
    </row>
    <row r="74" spans="1:27">
      <c r="A74" s="119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280</v>
      </c>
      <c r="B74" s="120">
        <f t="shared" si="60"/>
        <v>26084</v>
      </c>
      <c r="C74" s="121">
        <f t="shared" si="74"/>
        <v>178.51000000000013</v>
      </c>
      <c r="D74" s="191" t="s">
        <v>14</v>
      </c>
      <c r="E74" s="192">
        <f>IF(H73="AFIII",VLOOKUP($D74,Sheet1!$A$34:$K$48,5,FALSE),IF(H73="UBIII",VLOOKUP($D74,Sheet1!$A$34:$K$48,8,FALSE),VLOOKUP($D74,Sheet1!$A$34:$K$48,2,FALSE)))</f>
        <v>2.86</v>
      </c>
      <c r="F74" s="192">
        <f>ROUNDDOWN((IF(H73="AFIII",VLOOKUP($D74,Sheet1!$A$34:$K$48,5,FALSE),IF(H73="UBIII",VLOOKUP($D74,Sheet1!$A$34:$K$48,8,FALSE),VLOOKUP($D74,Sheet1!$A$34:$K$48,2,FALSE))))*0.85,2)</f>
        <v>2.4300000000000002</v>
      </c>
      <c r="G74" s="192">
        <f t="shared" si="82"/>
        <v>2.4300000000000002</v>
      </c>
      <c r="H74" s="193" t="s">
        <v>122</v>
      </c>
      <c r="I74" s="192">
        <f t="shared" ref="I74" si="90">I73-G74</f>
        <v>7.57</v>
      </c>
      <c r="J74" s="193"/>
      <c r="K74" s="192">
        <v>15</v>
      </c>
      <c r="L74" s="192">
        <f t="shared" si="73"/>
        <v>22.740000000000002</v>
      </c>
      <c r="M74" s="193"/>
      <c r="N74" s="192"/>
      <c r="O74" s="192"/>
      <c r="P74" s="193"/>
      <c r="Q74" s="192"/>
      <c r="R74" s="192">
        <f t="shared" si="89"/>
        <v>-1.5399999999999969</v>
      </c>
      <c r="S74" s="193" t="s">
        <v>87</v>
      </c>
      <c r="T74" s="192">
        <f t="shared" si="86"/>
        <v>13.79</v>
      </c>
      <c r="U74" s="194">
        <f t="shared" si="87"/>
        <v>73.789999999999964</v>
      </c>
      <c r="V74" s="211">
        <f>IF(H73="AFIII",VLOOKUP(D74,Sheet1!$A$4:$H$18,5,FALSE),IF(H73="UBIII",VLOOKUP(D74,Sheet1!$A$4:$H$18,8,FALSE),IF(H73="",VLOOKUP(D74,Sheet1!$A$4:$H$18,2,FALSE),"0")))</f>
        <v>884</v>
      </c>
      <c r="W74" s="211">
        <f t="shared" si="66"/>
        <v>7033</v>
      </c>
      <c r="X74" s="212">
        <f t="shared" si="67"/>
        <v>7642</v>
      </c>
      <c r="Y74" s="195" t="str">
        <f t="shared" si="68"/>
        <v>SUCCESS</v>
      </c>
      <c r="Z74" s="195" t="str">
        <f t="shared" si="69"/>
        <v>SUCCESS</v>
      </c>
      <c r="AA74" s="185">
        <f t="shared" si="70"/>
        <v>146.12066550893496</v>
      </c>
    </row>
    <row r="75" spans="1:27">
      <c r="A75" s="112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168</v>
      </c>
      <c r="B75" s="113">
        <f t="shared" si="60"/>
        <v>26252</v>
      </c>
      <c r="C75" s="118">
        <f t="shared" si="74"/>
        <v>180.54000000000013</v>
      </c>
      <c r="D75" s="181" t="s">
        <v>4</v>
      </c>
      <c r="E75" s="182">
        <f>IF(H74="AFIII",VLOOKUP($D75,Sheet1!$A$34:$K$48,5,FALSE),IF(H74="UBIII",VLOOKUP($D75,Sheet1!$A$34:$K$48,8,FALSE),VLOOKUP($D75,Sheet1!$A$34:$K$48,2,FALSE)))</f>
        <v>1.67</v>
      </c>
      <c r="F75" s="182">
        <f>ROUNDDOWN((IF(H74="AFIII",VLOOKUP($D75,Sheet1!$A$34:$K$48,5,FALSE),IF(H74="UBIII",VLOOKUP($D75,Sheet1!$A$34:$K$48,8,FALSE),VLOOKUP($D75,Sheet1!$A$34:$K$48,2,FALSE))))*0.85,2)</f>
        <v>1.41</v>
      </c>
      <c r="G75" s="182">
        <f t="shared" si="82"/>
        <v>2.0299999999999998</v>
      </c>
      <c r="H75" s="183" t="s">
        <v>84</v>
      </c>
      <c r="I75" s="182">
        <v>10</v>
      </c>
      <c r="K75" s="182">
        <f t="shared" ref="K75:K81" si="91">K74-G75</f>
        <v>12.97</v>
      </c>
      <c r="L75" s="182">
        <f t="shared" si="73"/>
        <v>20.71</v>
      </c>
      <c r="S75" s="183" t="s">
        <v>87</v>
      </c>
      <c r="T75" s="182">
        <f t="shared" si="86"/>
        <v>11.76</v>
      </c>
      <c r="U75" s="184">
        <f t="shared" si="87"/>
        <v>71.759999999999962</v>
      </c>
      <c r="V75" s="201">
        <f>IF(H74="AFIII",VLOOKUP(D75,Sheet1!$A$4:$H$18,5,FALSE),IF(H74="UBIII",VLOOKUP(D75,Sheet1!$A$4:$H$18,8,FALSE),IF(H74="",VLOOKUP(D75,Sheet1!$A$4:$H$18,2,FALSE),"0")))</f>
        <v>442</v>
      </c>
      <c r="W75" s="201">
        <f t="shared" si="66"/>
        <v>7033</v>
      </c>
      <c r="X75" s="208">
        <f t="shared" si="67"/>
        <v>10950</v>
      </c>
      <c r="Y75" s="171" t="str">
        <f t="shared" si="68"/>
        <v>SUCCESS</v>
      </c>
      <c r="Z75" s="171" t="str">
        <f t="shared" si="69"/>
        <v>SUCCESS</v>
      </c>
      <c r="AA75" s="185">
        <f t="shared" si="70"/>
        <v>145.40821978508907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504</v>
      </c>
      <c r="B76" s="113">
        <f t="shared" si="60"/>
        <v>26756</v>
      </c>
      <c r="C76" s="118">
        <f t="shared" si="74"/>
        <v>182.97000000000014</v>
      </c>
      <c r="D76" s="181" t="s">
        <v>6</v>
      </c>
      <c r="E76" s="182">
        <f>IF(H75="AFIII",VLOOKUP($D76,Sheet1!$A$34:$K$48,5,FALSE),IF(H75="UBIII",VLOOKUP($D76,Sheet1!$A$34:$K$48,8,FALSE),VLOOKUP($D76,Sheet1!$A$34:$K$48,2,FALSE)))</f>
        <v>2.86</v>
      </c>
      <c r="F76" s="182">
        <f>ROUNDDOWN((IF(H75="AFIII",VLOOKUP($D76,Sheet1!$A$34:$K$48,5,FALSE),IF(H75="UBIII",VLOOKUP($D76,Sheet1!$A$34:$K$48,8,FALSE),VLOOKUP($D76,Sheet1!$A$34:$K$48,2,FALSE))))*0.85,2)</f>
        <v>2.4300000000000002</v>
      </c>
      <c r="G76" s="182">
        <f t="shared" si="82"/>
        <v>2.4300000000000002</v>
      </c>
      <c r="H76" s="183" t="s">
        <v>84</v>
      </c>
      <c r="I76" s="182">
        <f t="shared" ref="I76:I77" si="92">I75-G76</f>
        <v>7.57</v>
      </c>
      <c r="K76" s="182">
        <f t="shared" si="91"/>
        <v>10.540000000000001</v>
      </c>
      <c r="L76" s="182">
        <f t="shared" si="73"/>
        <v>18.28</v>
      </c>
      <c r="S76" s="183" t="s">
        <v>87</v>
      </c>
      <c r="T76" s="182">
        <f t="shared" si="86"/>
        <v>9.33</v>
      </c>
      <c r="U76" s="184">
        <f t="shared" si="87"/>
        <v>69.329999999999956</v>
      </c>
      <c r="V76" s="201">
        <f>IF(H75="AFIII",VLOOKUP(D76,Sheet1!$A$4:$H$18,5,FALSE),IF(H75="UBIII",VLOOKUP(D76,Sheet1!$A$4:$H$18,8,FALSE),IF(H75="",VLOOKUP(D76,Sheet1!$A$4:$H$18,2,FALSE),"0")))</f>
        <v>1768</v>
      </c>
      <c r="W76" s="201">
        <f t="shared" si="66"/>
        <v>0</v>
      </c>
      <c r="X76" s="208">
        <f t="shared" si="67"/>
        <v>9182</v>
      </c>
      <c r="Y76" s="171" t="str">
        <f t="shared" si="68"/>
        <v>SUCCESS</v>
      </c>
      <c r="Z76" s="171" t="str">
        <f t="shared" si="69"/>
        <v>SUCCESS</v>
      </c>
      <c r="AA76" s="185">
        <f t="shared" si="70"/>
        <v>146.23162267038302</v>
      </c>
    </row>
    <row r="77" spans="1:27">
      <c r="A77" s="112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60"/>
        <v>27260</v>
      </c>
      <c r="C77" s="118">
        <f t="shared" si="74"/>
        <v>185.40000000000015</v>
      </c>
      <c r="D77" s="181" t="s">
        <v>6</v>
      </c>
      <c r="E77" s="182">
        <f>IF(H76="AFIII",VLOOKUP($D77,Sheet1!$A$34:$K$48,5,FALSE),IF(H76="UBIII",VLOOKUP($D77,Sheet1!$A$34:$K$48,8,FALSE),VLOOKUP($D77,Sheet1!$A$34:$K$48,2,FALSE)))</f>
        <v>2.86</v>
      </c>
      <c r="F77" s="182">
        <f>ROUNDDOWN((IF(H76="AFIII",VLOOKUP($D77,Sheet1!$A$34:$K$48,5,FALSE),IF(H76="UBIII",VLOOKUP($D77,Sheet1!$A$34:$K$48,8,FALSE),VLOOKUP($D77,Sheet1!$A$34:$K$48,2,FALSE))))*0.85,2)</f>
        <v>2.4300000000000002</v>
      </c>
      <c r="G77" s="182">
        <f t="shared" si="82"/>
        <v>2.4300000000000002</v>
      </c>
      <c r="H77" s="183" t="s">
        <v>84</v>
      </c>
      <c r="I77" s="182">
        <f t="shared" si="92"/>
        <v>5.1400000000000006</v>
      </c>
      <c r="K77" s="182">
        <f t="shared" si="91"/>
        <v>8.1100000000000012</v>
      </c>
      <c r="L77" s="182">
        <f t="shared" si="73"/>
        <v>15.850000000000001</v>
      </c>
      <c r="S77" s="183" t="s">
        <v>87</v>
      </c>
      <c r="T77" s="182">
        <f t="shared" si="86"/>
        <v>6.9</v>
      </c>
      <c r="U77" s="184">
        <f t="shared" si="87"/>
        <v>66.899999999999949</v>
      </c>
      <c r="V77" s="201">
        <f>IF(H76="AFIII",VLOOKUP(D77,Sheet1!$A$4:$H$18,5,FALSE),IF(H76="UBIII",VLOOKUP(D77,Sheet1!$A$4:$H$18,8,FALSE),IF(H76="",VLOOKUP(D77,Sheet1!$A$4:$H$18,2,FALSE),"0")))</f>
        <v>1768</v>
      </c>
      <c r="W77" s="201">
        <f t="shared" si="66"/>
        <v>0</v>
      </c>
      <c r="X77" s="208">
        <f t="shared" si="67"/>
        <v>7414</v>
      </c>
      <c r="Y77" s="171" t="str">
        <f t="shared" si="68"/>
        <v>SUCCESS</v>
      </c>
      <c r="Z77" s="171" t="str">
        <f t="shared" si="69"/>
        <v>SUCCESS</v>
      </c>
      <c r="AA77" s="185">
        <f t="shared" si="70"/>
        <v>147.03344120819838</v>
      </c>
    </row>
    <row r="78" spans="1:27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324</v>
      </c>
      <c r="B78" s="113">
        <f t="shared" si="60"/>
        <v>27584</v>
      </c>
      <c r="C78" s="118">
        <f t="shared" si="74"/>
        <v>187.43000000000015</v>
      </c>
      <c r="D78" s="181" t="s">
        <v>1</v>
      </c>
      <c r="E78" s="182">
        <f>IF(H77="AFIII",VLOOKUP($D78,Sheet1!$A$34:$K$48,5,FALSE),IF(H77="UBIII",VLOOKUP($D78,Sheet1!$A$34:$K$48,8,FALSE),VLOOKUP($D78,Sheet1!$A$34:$K$48,2,FALSE)))</f>
        <v>2.39</v>
      </c>
      <c r="F78" s="182">
        <f>ROUNDDOWN((IF(H77="AFIII",VLOOKUP($D78,Sheet1!$A$34:$K$48,5,FALSE),IF(H77="UBIII",VLOOKUP($D78,Sheet1!$A$34:$K$48,8,FALSE),VLOOKUP($D78,Sheet1!$A$34:$K$48,2,FALSE))))*0.85,2)</f>
        <v>2.0299999999999998</v>
      </c>
      <c r="G78" s="182">
        <f t="shared" si="82"/>
        <v>2.0299999999999998</v>
      </c>
      <c r="H78" s="183" t="s">
        <v>84</v>
      </c>
      <c r="I78" s="182">
        <v>10</v>
      </c>
      <c r="K78" s="182">
        <f t="shared" si="91"/>
        <v>6.0800000000000018</v>
      </c>
      <c r="L78" s="182">
        <f t="shared" si="73"/>
        <v>13.820000000000002</v>
      </c>
      <c r="S78" s="183" t="s">
        <v>87</v>
      </c>
      <c r="T78" s="182">
        <f t="shared" si="86"/>
        <v>4.870000000000001</v>
      </c>
      <c r="U78" s="184">
        <f t="shared" si="87"/>
        <v>64.869999999999948</v>
      </c>
      <c r="V78" s="201">
        <f>IF(H77="AFIII",VLOOKUP(D78,Sheet1!$A$4:$H$18,5,FALSE),IF(H77="UBIII",VLOOKUP(D78,Sheet1!$A$4:$H$18,8,FALSE),IF(H77="",VLOOKUP(D78,Sheet1!$A$4:$H$18,2,FALSE),"0")))</f>
        <v>2120</v>
      </c>
      <c r="W78" s="201">
        <f t="shared" si="66"/>
        <v>0</v>
      </c>
      <c r="X78" s="208">
        <f t="shared" si="67"/>
        <v>5294</v>
      </c>
      <c r="Y78" s="171" t="str">
        <f t="shared" si="68"/>
        <v>SUCCESS</v>
      </c>
      <c r="Z78" s="171" t="str">
        <f t="shared" si="69"/>
        <v>SUCCESS</v>
      </c>
      <c r="AA78" s="185">
        <f t="shared" si="70"/>
        <v>147.16960998772865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504</v>
      </c>
      <c r="B79" s="113">
        <f t="shared" si="60"/>
        <v>28088</v>
      </c>
      <c r="C79" s="118">
        <f t="shared" si="74"/>
        <v>189.86000000000016</v>
      </c>
      <c r="D79" s="181" t="s">
        <v>6</v>
      </c>
      <c r="E79" s="182">
        <f>IF(H78="AFIII",VLOOKUP($D79,Sheet1!$A$34:$K$48,5,FALSE),IF(H78="UBIII",VLOOKUP($D79,Sheet1!$A$34:$K$48,8,FALSE),VLOOKUP($D79,Sheet1!$A$34:$K$48,2,FALSE)))</f>
        <v>2.86</v>
      </c>
      <c r="F79" s="182">
        <f>ROUNDDOWN((IF(H78="AFIII",VLOOKUP($D79,Sheet1!$A$34:$K$48,5,FALSE),IF(H78="UBIII",VLOOKUP($D79,Sheet1!$A$34:$K$48,8,FALSE),VLOOKUP($D79,Sheet1!$A$34:$K$48,2,FALSE))))*0.85,2)</f>
        <v>2.4300000000000002</v>
      </c>
      <c r="G79" s="182">
        <f t="shared" si="82"/>
        <v>2.4300000000000002</v>
      </c>
      <c r="H79" s="183" t="s">
        <v>84</v>
      </c>
      <c r="I79" s="182">
        <f t="shared" ref="I79" si="93">I78-G79</f>
        <v>7.57</v>
      </c>
      <c r="K79" s="182">
        <f t="shared" si="91"/>
        <v>3.6500000000000017</v>
      </c>
      <c r="L79" s="182">
        <f t="shared" si="73"/>
        <v>11.390000000000002</v>
      </c>
      <c r="S79" s="183" t="s">
        <v>87</v>
      </c>
      <c r="T79" s="182">
        <f t="shared" si="86"/>
        <v>2.4400000000000008</v>
      </c>
      <c r="U79" s="184">
        <f t="shared" si="87"/>
        <v>62.439999999999948</v>
      </c>
      <c r="V79" s="201">
        <f>IF(H78="AFIII",VLOOKUP(D79,Sheet1!$A$4:$H$18,5,FALSE),IF(H78="UBIII",VLOOKUP(D79,Sheet1!$A$4:$H$18,8,FALSE),IF(H78="",VLOOKUP(D79,Sheet1!$A$4:$H$18,2,FALSE),"0")))</f>
        <v>1768</v>
      </c>
      <c r="W79" s="201">
        <f t="shared" si="66"/>
        <v>0</v>
      </c>
      <c r="X79" s="208">
        <f t="shared" si="67"/>
        <v>3526</v>
      </c>
      <c r="Y79" s="171" t="str">
        <f t="shared" si="68"/>
        <v>SUCCESS</v>
      </c>
      <c r="Z79" s="171" t="str">
        <f t="shared" si="69"/>
        <v>SUCCESS</v>
      </c>
      <c r="AA79" s="185">
        <f t="shared" si="70"/>
        <v>147.94058780153784</v>
      </c>
    </row>
    <row r="80" spans="1:27">
      <c r="A80" s="112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504</v>
      </c>
      <c r="B80" s="113">
        <f t="shared" si="60"/>
        <v>28592</v>
      </c>
      <c r="C80" s="118">
        <f t="shared" si="74"/>
        <v>192.29000000000016</v>
      </c>
      <c r="D80" s="181" t="s">
        <v>6</v>
      </c>
      <c r="E80" s="182">
        <f>IF(H79="AFIII",VLOOKUP($D80,Sheet1!$A$34:$K$48,5,FALSE),IF(H79="UBIII",VLOOKUP($D80,Sheet1!$A$34:$K$48,8,FALSE),VLOOKUP($D80,Sheet1!$A$34:$K$48,2,FALSE)))</f>
        <v>2.86</v>
      </c>
      <c r="F80" s="182">
        <f>ROUNDDOWN((IF(H79="AFIII",VLOOKUP($D80,Sheet1!$A$34:$K$48,5,FALSE),IF(H79="UBIII",VLOOKUP($D80,Sheet1!$A$34:$K$48,8,FALSE),VLOOKUP($D80,Sheet1!$A$34:$K$48,2,FALSE))))*0.85,2)</f>
        <v>2.4300000000000002</v>
      </c>
      <c r="G80" s="182">
        <f t="shared" si="82"/>
        <v>2.4300000000000002</v>
      </c>
      <c r="H80" s="183" t="s">
        <v>84</v>
      </c>
      <c r="I80" s="182">
        <v>10</v>
      </c>
      <c r="K80" s="182">
        <f t="shared" si="91"/>
        <v>1.2200000000000015</v>
      </c>
      <c r="L80" s="182">
        <f t="shared" si="73"/>
        <v>8.9600000000000026</v>
      </c>
      <c r="T80" s="182">
        <f t="shared" si="86"/>
        <v>1.0000000000000675E-2</v>
      </c>
      <c r="U80" s="184">
        <f t="shared" si="87"/>
        <v>60.009999999999948</v>
      </c>
      <c r="V80" s="201">
        <f>IF(H79="AFIII",VLOOKUP(D80,Sheet1!$A$4:$H$18,5,FALSE),IF(H79="UBIII",VLOOKUP(D80,Sheet1!$A$4:$H$18,8,FALSE),IF(H79="",VLOOKUP(D80,Sheet1!$A$4:$H$18,2,FALSE),"0")))</f>
        <v>1768</v>
      </c>
      <c r="W80" s="201">
        <f t="shared" si="66"/>
        <v>0</v>
      </c>
      <c r="X80" s="208">
        <f t="shared" si="67"/>
        <v>1758</v>
      </c>
      <c r="Y80" s="171" t="str">
        <f t="shared" si="68"/>
        <v>SUCCESS</v>
      </c>
      <c r="Z80" s="171" t="str">
        <f t="shared" si="69"/>
        <v>SUCCESS</v>
      </c>
      <c r="AA80" s="185">
        <f t="shared" si="70"/>
        <v>148.69207967132962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168</v>
      </c>
      <c r="B81" s="113">
        <f t="shared" si="60"/>
        <v>28760</v>
      </c>
      <c r="C81" s="118">
        <f t="shared" si="74"/>
        <v>194.68000000000015</v>
      </c>
      <c r="D81" s="181" t="s">
        <v>12</v>
      </c>
      <c r="E81" s="182">
        <f>IF(H80="AFIII",VLOOKUP($D81,Sheet1!$A$34:$K$48,5,FALSE),IF(H80="UBIII",VLOOKUP($D81,Sheet1!$A$34:$K$48,8,FALSE),VLOOKUP($D81,Sheet1!$A$34:$K$48,2,FALSE)))</f>
        <v>1.67</v>
      </c>
      <c r="F81" s="182">
        <f>ROUNDDOWN((IF(H80="AFIII",VLOOKUP($D81,Sheet1!$A$34:$K$48,5,FALSE),IF(H80="UBIII",VLOOKUP($D81,Sheet1!$A$34:$K$48,8,FALSE),VLOOKUP($D81,Sheet1!$A$34:$K$48,2,FALSE))))*0.85,2)</f>
        <v>1.41</v>
      </c>
      <c r="G81" s="182">
        <f t="shared" si="82"/>
        <v>2.39</v>
      </c>
      <c r="H81" s="183" t="s">
        <v>122</v>
      </c>
      <c r="I81" s="182">
        <v>10</v>
      </c>
      <c r="K81" s="182">
        <f t="shared" si="91"/>
        <v>-1.1699999999999986</v>
      </c>
      <c r="L81" s="182">
        <f t="shared" si="73"/>
        <v>6.5700000000000021</v>
      </c>
      <c r="U81" s="184">
        <f t="shared" si="87"/>
        <v>57.619999999999948</v>
      </c>
      <c r="V81" s="201">
        <f>IF(H80="AFIII",VLOOKUP(D81,Sheet1!$A$4:$H$18,5,FALSE),IF(H80="UBIII",VLOOKUP(D81,Sheet1!$A$4:$H$18,8,FALSE),IF(H80="",VLOOKUP(D81,Sheet1!$A$4:$H$18,2,FALSE),"0")))</f>
        <v>265</v>
      </c>
      <c r="W81" s="201">
        <f t="shared" si="66"/>
        <v>0</v>
      </c>
      <c r="X81" s="208">
        <f t="shared" si="67"/>
        <v>1493</v>
      </c>
      <c r="Y81" s="171" t="str">
        <f t="shared" si="68"/>
        <v>SUCCESS</v>
      </c>
      <c r="Z81" s="171" t="str">
        <f t="shared" si="69"/>
        <v>ERROR</v>
      </c>
      <c r="AA81" s="185">
        <f>B81/C81</f>
        <v>147.72960756112585</v>
      </c>
    </row>
    <row r="82" spans="1:27" ht="12.75" thickBot="1">
      <c r="A82" s="116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295</v>
      </c>
      <c r="B82" s="117">
        <f t="shared" ref="B82:B145" si="94">B81+A82</f>
        <v>29055</v>
      </c>
      <c r="C82" s="125">
        <f t="shared" ref="C82:C95" si="95">C81+G82</f>
        <v>197.54000000000016</v>
      </c>
      <c r="D82" s="196" t="s">
        <v>19</v>
      </c>
      <c r="E82" s="197">
        <f>IF(H81="AFIII",VLOOKUP($D82,Sheet1!$A$34:$K$48,5,FALSE),IF(H81="UBIII",VLOOKUP($D82,Sheet1!$A$34:$K$48,8,FALSE),VLOOKUP($D82,Sheet1!$A$34:$K$48,2,FALSE)))</f>
        <v>2.86</v>
      </c>
      <c r="F82" s="197">
        <f>ROUNDDOWN((IF(H81="AFIII",VLOOKUP($D82,Sheet1!$A$34:$K$48,5,FALSE),IF(H81="UBIII",VLOOKUP($D82,Sheet1!$A$34:$K$48,8,FALSE),VLOOKUP($D82,Sheet1!$A$34:$K$48,2,FALSE))))*0.85,2)</f>
        <v>2.4300000000000002</v>
      </c>
      <c r="G82" s="197">
        <f t="shared" ref="G82:G90" si="96">IF(M81="迅速",IF(S81="黒魔紋",$F$1,$E$1),IF(S81="黒魔紋",IF(F82&lt;$F$1,$F$1,F82),IF(E82&lt;$E$1,$E$1,E82)))</f>
        <v>2.86</v>
      </c>
      <c r="H82" s="198" t="s">
        <v>122</v>
      </c>
      <c r="I82" s="197">
        <f>I81-G82</f>
        <v>7.1400000000000006</v>
      </c>
      <c r="J82" s="198"/>
      <c r="K82" s="197"/>
      <c r="L82" s="197">
        <f t="shared" ref="L82:L86" si="97">L81-G82</f>
        <v>3.7100000000000022</v>
      </c>
      <c r="M82" s="198"/>
      <c r="N82" s="197"/>
      <c r="O82" s="197"/>
      <c r="P82" s="198" t="s">
        <v>17</v>
      </c>
      <c r="Q82" s="197">
        <v>21</v>
      </c>
      <c r="R82" s="197"/>
      <c r="S82" s="198"/>
      <c r="T82" s="197"/>
      <c r="U82" s="199">
        <f t="shared" ref="U82:U89" si="98">U81-G82</f>
        <v>54.759999999999948</v>
      </c>
      <c r="V82" s="206">
        <f>IF(H81="AFIII",VLOOKUP(D82,Sheet1!$A$4:$H$18,5,FALSE),IF(H81="UBIII",VLOOKUP(D82,Sheet1!$A$4:$H$18,8,FALSE),IF(H81="",VLOOKUP(D82,Sheet1!$A$4:$H$18,2,FALSE),"0")))</f>
        <v>1060</v>
      </c>
      <c r="W82" s="206">
        <f t="shared" ref="W82:W145" si="99">IF(H81="UBIII",$X$2,0)</f>
        <v>7033</v>
      </c>
      <c r="X82" s="207">
        <f t="shared" ref="X82:X95" si="100">IF(M82="コンバート",(IF(D82="フレア",0,IF(X81-V82+W82&gt;$X$3,$X$3-V82,X81-V82+W82)))+$X$1,IF(D82="フレア",0,IF(X81-V82+W82&gt;$X$3,$X$3-V82,X81-V82+W82)))</f>
        <v>7466</v>
      </c>
      <c r="Y82" s="180" t="str">
        <f t="shared" ref="Y82:Y145" si="101">IF(X81-V82&lt;0,"ERROR","SUCCESS")</f>
        <v>SUCCESS</v>
      </c>
      <c r="Z82" s="180" t="str">
        <f t="shared" ref="Z82:Z145" si="102">IF(K81-G82&lt;0,"ERROR","SUCCESS")</f>
        <v>ERROR</v>
      </c>
      <c r="AA82" s="185">
        <f t="shared" ref="AA82:AA145" si="103">B82/C82</f>
        <v>147.08413485876267</v>
      </c>
    </row>
    <row r="83" spans="1:27" ht="12.75" thickTop="1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168</v>
      </c>
      <c r="B83" s="113">
        <f t="shared" si="94"/>
        <v>29223</v>
      </c>
      <c r="C83" s="118">
        <f t="shared" si="95"/>
        <v>199.93000000000015</v>
      </c>
      <c r="D83" s="200" t="s">
        <v>4</v>
      </c>
      <c r="E83" s="182">
        <f>IF(H82="AFIII",VLOOKUP($D83,Sheet1!$A$34:$K$48,5,FALSE),IF(H82="UBIII",VLOOKUP($D83,Sheet1!$A$34:$K$48,8,FALSE),VLOOKUP($D83,Sheet1!$A$34:$K$48,2,FALSE)))</f>
        <v>1.67</v>
      </c>
      <c r="F83" s="182">
        <f>ROUNDDOWN((IF(H82="AFIII",VLOOKUP($D83,Sheet1!$A$34:$K$48,5,FALSE),IF(H82="UBIII",VLOOKUP($D83,Sheet1!$A$34:$K$48,8,FALSE),VLOOKUP($D83,Sheet1!$A$34:$K$48,2,FALSE))))*0.85,2)</f>
        <v>1.41</v>
      </c>
      <c r="G83" s="182">
        <f t="shared" si="96"/>
        <v>2.39</v>
      </c>
      <c r="H83" s="183" t="s">
        <v>83</v>
      </c>
      <c r="I83" s="182">
        <v>10</v>
      </c>
      <c r="L83" s="182">
        <f t="shared" si="97"/>
        <v>1.3200000000000021</v>
      </c>
      <c r="Q83" s="182">
        <f>Q82-G83</f>
        <v>18.61</v>
      </c>
      <c r="U83" s="184">
        <f t="shared" si="98"/>
        <v>52.369999999999948</v>
      </c>
      <c r="V83" s="213">
        <f>IF(H82="AFIII",VLOOKUP(D83,Sheet1!$A$4:$H$18,5,FALSE),IF(H82="UBIII",VLOOKUP(D83,Sheet1!$A$4:$H$18,8,FALSE),IF(H82="",VLOOKUP(D83,Sheet1!$A$4:$H$18,2,FALSE),"0")))</f>
        <v>442</v>
      </c>
      <c r="W83" s="213">
        <f t="shared" si="99"/>
        <v>7033</v>
      </c>
      <c r="X83" s="214">
        <f t="shared" si="100"/>
        <v>10950</v>
      </c>
      <c r="Y83" s="171" t="str">
        <f t="shared" si="101"/>
        <v>SUCCESS</v>
      </c>
      <c r="Z83" s="171" t="str">
        <f t="shared" si="102"/>
        <v>ERROR</v>
      </c>
      <c r="AA83" s="185">
        <f t="shared" si="103"/>
        <v>146.16615815535425</v>
      </c>
    </row>
    <row r="84" spans="1:27">
      <c r="A84" s="112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324</v>
      </c>
      <c r="B84" s="113">
        <f t="shared" si="94"/>
        <v>29547</v>
      </c>
      <c r="C84" s="118">
        <f t="shared" si="95"/>
        <v>202.32000000000014</v>
      </c>
      <c r="D84" s="181" t="s">
        <v>1</v>
      </c>
      <c r="E84" s="182">
        <f>IF(H83="AFIII",VLOOKUP($D84,Sheet1!$A$34:$K$48,5,FALSE),IF(H83="UBIII",VLOOKUP($D84,Sheet1!$A$34:$K$48,8,FALSE),VLOOKUP($D84,Sheet1!$A$34:$K$48,2,FALSE)))</f>
        <v>2.39</v>
      </c>
      <c r="F84" s="182">
        <f>ROUNDDOWN((IF(H83="AFIII",VLOOKUP($D84,Sheet1!$A$34:$K$48,5,FALSE),IF(H83="UBIII",VLOOKUP($D84,Sheet1!$A$34:$K$48,8,FALSE),VLOOKUP($D84,Sheet1!$A$34:$K$48,2,FALSE))))*0.85,2)</f>
        <v>2.0299999999999998</v>
      </c>
      <c r="G84" s="182">
        <f t="shared" si="96"/>
        <v>2.39</v>
      </c>
      <c r="H84" s="183" t="s">
        <v>83</v>
      </c>
      <c r="I84" s="182">
        <f>I83-G84</f>
        <v>7.6099999999999994</v>
      </c>
      <c r="L84" s="182">
        <f t="shared" si="97"/>
        <v>-1.0699999999999981</v>
      </c>
      <c r="Q84" s="182">
        <f t="shared" ref="Q84:Q88" si="104">Q83-G84</f>
        <v>16.22</v>
      </c>
      <c r="U84" s="184">
        <f t="shared" si="98"/>
        <v>49.979999999999947</v>
      </c>
      <c r="V84" s="201">
        <f>IF(H83="AFIII",VLOOKUP(D84,Sheet1!$A$4:$H$18,5,FALSE),IF(H83="UBIII",VLOOKUP(D84,Sheet1!$A$4:$H$18,8,FALSE),IF(H83="",VLOOKUP(D84,Sheet1!$A$4:$H$18,2,FALSE),"0")))</f>
        <v>2120</v>
      </c>
      <c r="W84" s="201">
        <f t="shared" si="99"/>
        <v>0</v>
      </c>
      <c r="X84" s="208">
        <f t="shared" si="100"/>
        <v>8830</v>
      </c>
      <c r="Y84" s="171" t="str">
        <f t="shared" si="101"/>
        <v>SUCCESS</v>
      </c>
      <c r="Z84" s="171" t="str">
        <f t="shared" si="102"/>
        <v>ERROR</v>
      </c>
      <c r="AA84" s="185">
        <f t="shared" si="103"/>
        <v>146.04092526690383</v>
      </c>
    </row>
    <row r="85" spans="1:27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324</v>
      </c>
      <c r="B85" s="113">
        <f t="shared" si="94"/>
        <v>29871</v>
      </c>
      <c r="C85" s="118">
        <f t="shared" si="95"/>
        <v>204.71000000000012</v>
      </c>
      <c r="D85" s="181" t="s">
        <v>1</v>
      </c>
      <c r="E85" s="182">
        <f>IF(H84="AFIII",VLOOKUP($D85,Sheet1!$A$34:$K$48,5,FALSE),IF(H84="UBIII",VLOOKUP($D85,Sheet1!$A$34:$K$48,8,FALSE),VLOOKUP($D85,Sheet1!$A$34:$K$48,2,FALSE)))</f>
        <v>2.39</v>
      </c>
      <c r="F85" s="182">
        <f>ROUNDDOWN((IF(H84="AFIII",VLOOKUP($D85,Sheet1!$A$34:$K$48,5,FALSE),IF(H84="UBIII",VLOOKUP($D85,Sheet1!$A$34:$K$48,8,FALSE),VLOOKUP($D85,Sheet1!$A$34:$K$48,2,FALSE))))*0.85,2)</f>
        <v>2.0299999999999998</v>
      </c>
      <c r="G85" s="182">
        <f t="shared" si="96"/>
        <v>2.39</v>
      </c>
      <c r="H85" s="183" t="s">
        <v>83</v>
      </c>
      <c r="I85" s="182">
        <f>I84-G85</f>
        <v>5.2199999999999989</v>
      </c>
      <c r="L85" s="182">
        <f t="shared" si="97"/>
        <v>-3.4599999999999982</v>
      </c>
      <c r="Q85" s="182">
        <f t="shared" si="104"/>
        <v>13.829999999999998</v>
      </c>
      <c r="U85" s="184">
        <f t="shared" si="98"/>
        <v>47.589999999999947</v>
      </c>
      <c r="V85" s="201">
        <f>IF(H84="AFIII",VLOOKUP(D85,Sheet1!$A$4:$H$18,5,FALSE),IF(H84="UBIII",VLOOKUP(D85,Sheet1!$A$4:$H$18,8,FALSE),IF(H84="",VLOOKUP(D85,Sheet1!$A$4:$H$18,2,FALSE),"0")))</f>
        <v>2120</v>
      </c>
      <c r="W85" s="201">
        <f t="shared" si="99"/>
        <v>0</v>
      </c>
      <c r="X85" s="208">
        <f t="shared" si="100"/>
        <v>6710</v>
      </c>
      <c r="Y85" s="171" t="str">
        <f t="shared" si="101"/>
        <v>SUCCESS</v>
      </c>
      <c r="Z85" s="171" t="str">
        <f t="shared" si="102"/>
        <v>ERROR</v>
      </c>
      <c r="AA85" s="185">
        <f t="shared" si="103"/>
        <v>145.91861657955147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324</v>
      </c>
      <c r="B86" s="113">
        <f t="shared" si="94"/>
        <v>30195</v>
      </c>
      <c r="C86" s="118">
        <f t="shared" si="95"/>
        <v>207.10000000000011</v>
      </c>
      <c r="D86" s="181" t="s">
        <v>1</v>
      </c>
      <c r="E86" s="182">
        <f>IF(H85="AFIII",VLOOKUP($D86,Sheet1!$A$34:$K$48,5,FALSE),IF(H85="UBIII",VLOOKUP($D86,Sheet1!$A$34:$K$48,8,FALSE),VLOOKUP($D86,Sheet1!$A$34:$K$48,2,FALSE)))</f>
        <v>2.39</v>
      </c>
      <c r="F86" s="182">
        <f>ROUNDDOWN((IF(H85="AFIII",VLOOKUP($D86,Sheet1!$A$34:$K$48,5,FALSE),IF(H85="UBIII",VLOOKUP($D86,Sheet1!$A$34:$K$48,8,FALSE),VLOOKUP($D86,Sheet1!$A$34:$K$48,2,FALSE))))*0.85,2)</f>
        <v>2.0299999999999998</v>
      </c>
      <c r="G86" s="182">
        <f t="shared" si="96"/>
        <v>2.39</v>
      </c>
      <c r="H86" s="183" t="s">
        <v>83</v>
      </c>
      <c r="I86" s="182">
        <f>I85-G86</f>
        <v>2.8299999999999987</v>
      </c>
      <c r="L86" s="182">
        <f t="shared" si="97"/>
        <v>-5.8499999999999979</v>
      </c>
      <c r="Q86" s="182">
        <f t="shared" si="104"/>
        <v>11.439999999999998</v>
      </c>
      <c r="U86" s="184">
        <f t="shared" si="98"/>
        <v>45.199999999999946</v>
      </c>
      <c r="V86" s="201">
        <f>IF(H85="AFIII",VLOOKUP(D86,Sheet1!$A$4:$H$18,5,FALSE),IF(H85="UBIII",VLOOKUP(D86,Sheet1!$A$4:$H$18,8,FALSE),IF(H85="",VLOOKUP(D86,Sheet1!$A$4:$H$18,2,FALSE),"0")))</f>
        <v>2120</v>
      </c>
      <c r="W86" s="201">
        <f t="shared" si="99"/>
        <v>0</v>
      </c>
      <c r="X86" s="208">
        <f t="shared" si="100"/>
        <v>4590</v>
      </c>
      <c r="Y86" s="171" t="str">
        <f t="shared" si="101"/>
        <v>SUCCESS</v>
      </c>
      <c r="Z86" s="171" t="str">
        <f t="shared" si="102"/>
        <v>ERROR</v>
      </c>
      <c r="AA86" s="185">
        <f t="shared" si="103"/>
        <v>145.7991308546595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324</v>
      </c>
      <c r="B87" s="113">
        <f t="shared" si="94"/>
        <v>30519</v>
      </c>
      <c r="C87" s="118">
        <f t="shared" si="95"/>
        <v>209.49000000000009</v>
      </c>
      <c r="D87" s="181" t="s">
        <v>1</v>
      </c>
      <c r="E87" s="182">
        <f>IF(H86="AFIII",VLOOKUP($D87,Sheet1!$A$34:$K$48,5,FALSE),IF(H86="UBIII",VLOOKUP($D87,Sheet1!$A$34:$K$48,8,FALSE),VLOOKUP($D87,Sheet1!$A$34:$K$48,2,FALSE)))</f>
        <v>2.39</v>
      </c>
      <c r="F87" s="182">
        <f>ROUNDDOWN((IF(H86="AFIII",VLOOKUP($D87,Sheet1!$A$34:$K$48,5,FALSE),IF(H86="UBIII",VLOOKUP($D87,Sheet1!$A$34:$K$48,8,FALSE),VLOOKUP($D87,Sheet1!$A$34:$K$48,2,FALSE))))*0.85,2)</f>
        <v>2.0299999999999998</v>
      </c>
      <c r="G87" s="182">
        <f t="shared" si="96"/>
        <v>2.39</v>
      </c>
      <c r="H87" s="183" t="s">
        <v>84</v>
      </c>
      <c r="I87" s="182">
        <v>10</v>
      </c>
      <c r="Q87" s="182">
        <f t="shared" si="104"/>
        <v>9.0499999999999972</v>
      </c>
      <c r="U87" s="184">
        <f t="shared" si="98"/>
        <v>42.809999999999945</v>
      </c>
      <c r="V87" s="201">
        <f>IF(H86="AFIII",VLOOKUP(D87,Sheet1!$A$4:$H$18,5,FALSE),IF(H86="UBIII",VLOOKUP(D87,Sheet1!$A$4:$H$18,8,FALSE),IF(H86="",VLOOKUP(D87,Sheet1!$A$4:$H$18,2,FALSE),"0")))</f>
        <v>2120</v>
      </c>
      <c r="W87" s="201">
        <f t="shared" si="99"/>
        <v>0</v>
      </c>
      <c r="X87" s="208">
        <f t="shared" si="100"/>
        <v>2470</v>
      </c>
      <c r="Y87" s="171" t="str">
        <f t="shared" si="101"/>
        <v>SUCCESS</v>
      </c>
      <c r="Z87" s="171" t="str">
        <f t="shared" si="102"/>
        <v>ERROR</v>
      </c>
      <c r="AA87" s="185">
        <f t="shared" si="103"/>
        <v>145.68237147357863</v>
      </c>
    </row>
    <row r="88" spans="1:27">
      <c r="A88" s="112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168</v>
      </c>
      <c r="B88" s="113">
        <f t="shared" si="94"/>
        <v>30687</v>
      </c>
      <c r="C88" s="118">
        <f t="shared" si="95"/>
        <v>211.88000000000008</v>
      </c>
      <c r="D88" s="181" t="s">
        <v>12</v>
      </c>
      <c r="E88" s="182">
        <f>IF(H87="AFIII",VLOOKUP($D88,Sheet1!$A$34:$K$48,5,FALSE),IF(H87="UBIII",VLOOKUP($D88,Sheet1!$A$34:$K$48,8,FALSE),VLOOKUP($D88,Sheet1!$A$34:$K$48,2,FALSE)))</f>
        <v>1.67</v>
      </c>
      <c r="F88" s="182">
        <f>ROUNDDOWN((IF(H87="AFIII",VLOOKUP($D88,Sheet1!$A$34:$K$48,5,FALSE),IF(H87="UBIII",VLOOKUP($D88,Sheet1!$A$34:$K$48,8,FALSE),VLOOKUP($D88,Sheet1!$A$34:$K$48,2,FALSE))))*0.85,2)</f>
        <v>1.41</v>
      </c>
      <c r="G88" s="182">
        <f t="shared" si="96"/>
        <v>2.39</v>
      </c>
      <c r="H88" s="183" t="s">
        <v>121</v>
      </c>
      <c r="I88" s="182">
        <v>10</v>
      </c>
      <c r="Q88" s="182">
        <f t="shared" si="104"/>
        <v>6.6599999999999966</v>
      </c>
      <c r="U88" s="184">
        <f t="shared" si="98"/>
        <v>40.419999999999945</v>
      </c>
      <c r="V88" s="201">
        <f>IF(H87="AFIII",VLOOKUP(D88,Sheet1!$A$4:$H$18,5,FALSE),IF(H87="UBIII",VLOOKUP(D88,Sheet1!$A$4:$H$18,8,FALSE),IF(H87="",VLOOKUP(D88,Sheet1!$A$4:$H$18,2,FALSE),"0")))</f>
        <v>265</v>
      </c>
      <c r="W88" s="201">
        <f t="shared" si="99"/>
        <v>0</v>
      </c>
      <c r="X88" s="208">
        <f t="shared" si="100"/>
        <v>2205</v>
      </c>
      <c r="Y88" s="171" t="str">
        <f t="shared" si="101"/>
        <v>SUCCESS</v>
      </c>
      <c r="Z88" s="171" t="str">
        <f t="shared" si="102"/>
        <v>ERROR</v>
      </c>
      <c r="AA88" s="185">
        <f t="shared" si="103"/>
        <v>144.83198036624498</v>
      </c>
    </row>
    <row r="89" spans="1:27">
      <c r="A89" s="12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295</v>
      </c>
      <c r="B89" s="123">
        <f t="shared" si="94"/>
        <v>30982</v>
      </c>
      <c r="C89" s="124">
        <f t="shared" si="95"/>
        <v>214.74000000000009</v>
      </c>
      <c r="D89" s="186" t="s">
        <v>19</v>
      </c>
      <c r="E89" s="187">
        <f>IF(H88="AFIII",VLOOKUP($D89,Sheet1!$A$34:$K$48,5,FALSE),IF(H88="UBIII",VLOOKUP($D89,Sheet1!$A$34:$K$48,8,FALSE),VLOOKUP($D89,Sheet1!$A$34:$K$48,2,FALSE)))</f>
        <v>2.86</v>
      </c>
      <c r="F89" s="187">
        <f>ROUNDDOWN((IF(H88="AFIII",VLOOKUP($D89,Sheet1!$A$34:$K$48,5,FALSE),IF(H88="UBIII",VLOOKUP($D89,Sheet1!$A$34:$K$48,8,FALSE),VLOOKUP($D89,Sheet1!$A$34:$K$48,2,FALSE))))*0.85,2)</f>
        <v>2.4300000000000002</v>
      </c>
      <c r="G89" s="187">
        <f t="shared" si="96"/>
        <v>2.86</v>
      </c>
      <c r="H89" s="188" t="s">
        <v>121</v>
      </c>
      <c r="I89" s="187">
        <f>I88-G89</f>
        <v>7.1400000000000006</v>
      </c>
      <c r="J89" s="188"/>
      <c r="K89" s="187"/>
      <c r="L89" s="187"/>
      <c r="M89" s="188"/>
      <c r="N89" s="187"/>
      <c r="O89" s="187"/>
      <c r="P89" s="188" t="s">
        <v>16</v>
      </c>
      <c r="Q89" s="187">
        <v>21</v>
      </c>
      <c r="R89" s="187"/>
      <c r="S89" s="188"/>
      <c r="T89" s="187"/>
      <c r="U89" s="189">
        <f t="shared" si="98"/>
        <v>37.559999999999945</v>
      </c>
      <c r="V89" s="209">
        <f>IF(H88="AFIII",VLOOKUP(D89,Sheet1!$A$4:$H$18,5,FALSE),IF(H88="UBIII",VLOOKUP(D89,Sheet1!$A$4:$H$18,8,FALSE),IF(H88="",VLOOKUP(D89,Sheet1!$A$4:$H$18,2,FALSE),"0")))</f>
        <v>1060</v>
      </c>
      <c r="W89" s="209">
        <f t="shared" si="99"/>
        <v>7033</v>
      </c>
      <c r="X89" s="210">
        <f t="shared" si="100"/>
        <v>8178</v>
      </c>
      <c r="Y89" s="190" t="str">
        <f t="shared" si="101"/>
        <v>SUCCESS</v>
      </c>
      <c r="Z89" s="190" t="str">
        <f t="shared" si="102"/>
        <v>ERROR</v>
      </c>
      <c r="AA89" s="185">
        <f t="shared" si="103"/>
        <v>144.27679985098251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168</v>
      </c>
      <c r="B90" s="113">
        <f t="shared" si="94"/>
        <v>31150</v>
      </c>
      <c r="C90" s="118">
        <f t="shared" si="95"/>
        <v>217.13000000000008</v>
      </c>
      <c r="D90" s="181" t="s">
        <v>4</v>
      </c>
      <c r="E90" s="182">
        <f>IF(H89="AFIII",VLOOKUP($D90,Sheet1!$A$34:$K$48,5,FALSE),IF(H89="UBIII",VLOOKUP($D90,Sheet1!$A$34:$K$48,8,FALSE),VLOOKUP($D90,Sheet1!$A$34:$K$48,2,FALSE)))</f>
        <v>1.67</v>
      </c>
      <c r="F90" s="182">
        <f>ROUNDDOWN((IF(H89="AFIII",VLOOKUP($D90,Sheet1!$A$34:$K$48,5,FALSE),IF(H89="UBIII",VLOOKUP($D90,Sheet1!$A$34:$K$48,8,FALSE),VLOOKUP($D90,Sheet1!$A$34:$K$48,2,FALSE))))*0.85,2)</f>
        <v>1.41</v>
      </c>
      <c r="G90" s="182">
        <f t="shared" si="96"/>
        <v>2.39</v>
      </c>
      <c r="H90" s="183" t="s">
        <v>84</v>
      </c>
      <c r="I90" s="182">
        <v>10</v>
      </c>
      <c r="J90" s="183" t="s">
        <v>105</v>
      </c>
      <c r="K90" s="182">
        <v>30</v>
      </c>
      <c r="L90" s="182">
        <v>90</v>
      </c>
      <c r="M90" s="183" t="s">
        <v>96</v>
      </c>
      <c r="N90" s="182">
        <v>20</v>
      </c>
      <c r="O90" s="182">
        <v>180</v>
      </c>
      <c r="Q90" s="182">
        <f>Q89-G90</f>
        <v>18.61</v>
      </c>
      <c r="V90" s="201">
        <f>IF(H89="AFIII",VLOOKUP(D90,Sheet1!$A$4:$H$18,5,FALSE),IF(H89="UBIII",VLOOKUP(D90,Sheet1!$A$4:$H$18,8,FALSE),IF(H89="",VLOOKUP(D90,Sheet1!$A$4:$H$18,2,FALSE),"0")))</f>
        <v>442</v>
      </c>
      <c r="W90" s="201">
        <f t="shared" si="99"/>
        <v>7033</v>
      </c>
      <c r="X90" s="208">
        <f t="shared" si="100"/>
        <v>10950</v>
      </c>
      <c r="Y90" s="171" t="str">
        <f t="shared" si="101"/>
        <v>SUCCESS</v>
      </c>
      <c r="Z90" s="171" t="str">
        <f t="shared" si="102"/>
        <v>ERROR</v>
      </c>
      <c r="AA90" s="185">
        <f t="shared" si="103"/>
        <v>143.4624418551098</v>
      </c>
    </row>
    <row r="91" spans="1:27">
      <c r="A91" s="11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604</v>
      </c>
      <c r="B91" s="113">
        <f t="shared" si="94"/>
        <v>31754</v>
      </c>
      <c r="C91" s="118">
        <f t="shared" si="95"/>
        <v>219.99000000000009</v>
      </c>
      <c r="D91" s="181" t="s">
        <v>6</v>
      </c>
      <c r="E91" s="182">
        <f>IF(H90="AFIII",VLOOKUP($D91,Sheet1!$A$34:$K$48,5,FALSE),IF(H90="UBIII",VLOOKUP($D91,Sheet1!$A$34:$K$48,8,FALSE),VLOOKUP($D91,Sheet1!$A$34:$K$48,2,FALSE)))</f>
        <v>2.86</v>
      </c>
      <c r="F91" s="182">
        <f>ROUNDDOWN((IF(H90="AFIII",VLOOKUP($D91,Sheet1!$A$34:$K$48,5,FALSE),IF(H90="UBIII",VLOOKUP($D91,Sheet1!$A$34:$K$48,8,FALSE),VLOOKUP($D91,Sheet1!$A$34:$K$48,2,FALSE))))*0.85,2)</f>
        <v>2.4300000000000002</v>
      </c>
      <c r="G91" s="182">
        <f>IF(M90="迅速",IF(S90="黒魔紋",$F$1,$E$1),IF(S90="黒魔紋",IF(F91&lt;$F$1,$F$1,F91),IF(E91&lt;$E$1,$E$1,E91)))</f>
        <v>2.86</v>
      </c>
      <c r="H91" s="183" t="s">
        <v>84</v>
      </c>
      <c r="I91" s="182">
        <f>I90-G91</f>
        <v>7.1400000000000006</v>
      </c>
      <c r="K91" s="182">
        <f>K90-G91</f>
        <v>27.14</v>
      </c>
      <c r="L91" s="182">
        <f>L90-G91</f>
        <v>87.14</v>
      </c>
      <c r="N91" s="182">
        <f>N90-G91</f>
        <v>17.14</v>
      </c>
      <c r="Q91" s="182">
        <f t="shared" ref="Q91:Q100" si="105">Q90-G91</f>
        <v>15.75</v>
      </c>
      <c r="V91" s="201">
        <f>IF(H90="AFIII",VLOOKUP(D91,Sheet1!$A$4:$H$18,5,FALSE),IF(H90="UBIII",VLOOKUP(D91,Sheet1!$A$4:$H$18,8,FALSE),IF(H90="",VLOOKUP(D91,Sheet1!$A$4:$H$18,2,FALSE),"0")))</f>
        <v>1768</v>
      </c>
      <c r="W91" s="201">
        <f t="shared" si="99"/>
        <v>0</v>
      </c>
      <c r="X91" s="208">
        <f t="shared" si="100"/>
        <v>9182</v>
      </c>
      <c r="Y91" s="171" t="str">
        <f t="shared" si="101"/>
        <v>SUCCESS</v>
      </c>
      <c r="Z91" s="171" t="str">
        <f t="shared" si="102"/>
        <v>SUCCESS</v>
      </c>
      <c r="AA91" s="185">
        <f t="shared" si="103"/>
        <v>144.34292467839441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604</v>
      </c>
      <c r="B92" s="113">
        <f t="shared" si="94"/>
        <v>32358</v>
      </c>
      <c r="C92" s="118">
        <f t="shared" si="95"/>
        <v>222.85000000000011</v>
      </c>
      <c r="D92" s="181" t="s">
        <v>6</v>
      </c>
      <c r="E92" s="182">
        <f>IF(H91="AFIII",VLOOKUP($D92,Sheet1!$A$34:$K$48,5,FALSE),IF(H91="UBIII",VLOOKUP($D92,Sheet1!$A$34:$K$48,8,FALSE),VLOOKUP($D92,Sheet1!$A$34:$K$48,2,FALSE)))</f>
        <v>2.86</v>
      </c>
      <c r="F92" s="182">
        <f>ROUNDDOWN((IF(H91="AFIII",VLOOKUP($D92,Sheet1!$A$34:$K$48,5,FALSE),IF(H91="UBIII",VLOOKUP($D92,Sheet1!$A$34:$K$48,8,FALSE),VLOOKUP($D92,Sheet1!$A$34:$K$48,2,FALSE))))*0.85,2)</f>
        <v>2.4300000000000002</v>
      </c>
      <c r="G92" s="182">
        <f t="shared" ref="G92:G97" si="106">IF(M91="迅速",IF(S91="黒魔紋",$F$1,$E$1),IF(S91="黒魔紋",IF(F92&lt;$F$1,$F$1,F92),IF(E92&lt;$E$1,$E$1,E92)))</f>
        <v>2.86</v>
      </c>
      <c r="H92" s="183" t="s">
        <v>84</v>
      </c>
      <c r="I92" s="182">
        <f t="shared" ref="I92" si="107">I91-G92</f>
        <v>4.2800000000000011</v>
      </c>
      <c r="K92" s="182">
        <f t="shared" ref="K92:K93" si="108">K91-G92</f>
        <v>24.28</v>
      </c>
      <c r="L92" s="182">
        <f t="shared" ref="L92:L93" si="109">L91-G92</f>
        <v>84.28</v>
      </c>
      <c r="N92" s="182">
        <f>N91-G92</f>
        <v>14.280000000000001</v>
      </c>
      <c r="P92" s="183" t="s">
        <v>246</v>
      </c>
      <c r="Q92" s="182">
        <f t="shared" si="105"/>
        <v>12.89</v>
      </c>
      <c r="R92" s="182">
        <v>60</v>
      </c>
      <c r="V92" s="201">
        <f>IF(H91="AFIII",VLOOKUP(D92,Sheet1!$A$4:$H$18,5,FALSE),IF(H91="UBIII",VLOOKUP(D92,Sheet1!$A$4:$H$18,8,FALSE),IF(H91="",VLOOKUP(D92,Sheet1!$A$4:$H$18,2,FALSE),"0")))</f>
        <v>1768</v>
      </c>
      <c r="W92" s="201">
        <f t="shared" si="99"/>
        <v>0</v>
      </c>
      <c r="X92" s="208">
        <f t="shared" si="100"/>
        <v>7414</v>
      </c>
      <c r="Y92" s="171" t="str">
        <f t="shared" si="101"/>
        <v>SUCCESS</v>
      </c>
      <c r="Z92" s="171" t="str">
        <f t="shared" si="102"/>
        <v>SUCCESS</v>
      </c>
      <c r="AA92" s="185">
        <f t="shared" si="103"/>
        <v>145.20080771819602</v>
      </c>
    </row>
    <row r="93" spans="1:27">
      <c r="A93" s="112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388</v>
      </c>
      <c r="B93" s="113">
        <f t="shared" si="94"/>
        <v>32746</v>
      </c>
      <c r="C93" s="118">
        <f t="shared" si="95"/>
        <v>225.24000000000009</v>
      </c>
      <c r="D93" s="181" t="s">
        <v>1</v>
      </c>
      <c r="E93" s="182">
        <f>IF(H92="AFIII",VLOOKUP($D93,Sheet1!$A$34:$K$48,5,FALSE),IF(H92="UBIII",VLOOKUP($D93,Sheet1!$A$34:$K$48,8,FALSE),VLOOKUP($D93,Sheet1!$A$34:$K$48,2,FALSE)))</f>
        <v>2.39</v>
      </c>
      <c r="F93" s="182">
        <f>ROUNDDOWN((IF(H92="AFIII",VLOOKUP($D93,Sheet1!$A$34:$K$48,5,FALSE),IF(H92="UBIII",VLOOKUP($D93,Sheet1!$A$34:$K$48,8,FALSE),VLOOKUP($D93,Sheet1!$A$34:$K$48,2,FALSE))))*0.85,2)</f>
        <v>2.0299999999999998</v>
      </c>
      <c r="G93" s="182">
        <f t="shared" si="106"/>
        <v>2.39</v>
      </c>
      <c r="H93" s="183" t="s">
        <v>84</v>
      </c>
      <c r="I93" s="182">
        <v>10</v>
      </c>
      <c r="K93" s="182">
        <f t="shared" si="108"/>
        <v>21.89</v>
      </c>
      <c r="L93" s="182">
        <f t="shared" si="109"/>
        <v>81.89</v>
      </c>
      <c r="N93" s="182">
        <f t="shared" ref="N93" si="110">N92-G93</f>
        <v>11.89</v>
      </c>
      <c r="Q93" s="182">
        <f t="shared" si="105"/>
        <v>10.5</v>
      </c>
      <c r="R93" s="182">
        <f t="shared" ref="R93:R95" si="111">R92-G93</f>
        <v>57.61</v>
      </c>
      <c r="V93" s="201">
        <f>IF(H92="AFIII",VLOOKUP(D93,Sheet1!$A$4:$H$18,5,FALSE),IF(H92="UBIII",VLOOKUP(D93,Sheet1!$A$4:$H$18,8,FALSE),IF(H92="",VLOOKUP(D93,Sheet1!$A$4:$H$18,2,FALSE),"0")))</f>
        <v>2120</v>
      </c>
      <c r="W93" s="201">
        <f t="shared" si="99"/>
        <v>0</v>
      </c>
      <c r="X93" s="208">
        <f t="shared" si="100"/>
        <v>5294</v>
      </c>
      <c r="Y93" s="171" t="str">
        <f t="shared" si="101"/>
        <v>SUCCESS</v>
      </c>
      <c r="Z93" s="171" t="str">
        <f t="shared" si="102"/>
        <v>SUCCESS</v>
      </c>
      <c r="AA93" s="185">
        <f t="shared" si="103"/>
        <v>145.38270289469006</v>
      </c>
    </row>
    <row r="94" spans="1:27">
      <c r="A94" s="112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604</v>
      </c>
      <c r="B94" s="113">
        <f t="shared" si="94"/>
        <v>33350</v>
      </c>
      <c r="C94" s="118">
        <f t="shared" si="95"/>
        <v>228.10000000000011</v>
      </c>
      <c r="D94" s="181" t="s">
        <v>6</v>
      </c>
      <c r="E94" s="182">
        <f>IF(H93="AFIII",VLOOKUP($D94,Sheet1!$A$34:$K$48,5,FALSE),IF(H93="UBIII",VLOOKUP($D94,Sheet1!$A$34:$K$48,8,FALSE),VLOOKUP($D94,Sheet1!$A$34:$K$48,2,FALSE)))</f>
        <v>2.86</v>
      </c>
      <c r="F94" s="182">
        <f>ROUNDDOWN((IF(H93="AFIII",VLOOKUP($D94,Sheet1!$A$34:$K$48,5,FALSE),IF(H93="UBIII",VLOOKUP($D94,Sheet1!$A$34:$K$48,8,FALSE),VLOOKUP($D94,Sheet1!$A$34:$K$48,2,FALSE))))*0.85,2)</f>
        <v>2.4300000000000002</v>
      </c>
      <c r="G94" s="182">
        <f t="shared" si="106"/>
        <v>2.86</v>
      </c>
      <c r="H94" s="183" t="s">
        <v>84</v>
      </c>
      <c r="I94" s="182">
        <f>I93-G94</f>
        <v>7.1400000000000006</v>
      </c>
      <c r="K94" s="182">
        <f>K93-G94</f>
        <v>19.03</v>
      </c>
      <c r="L94" s="182">
        <f>L93-G94</f>
        <v>79.03</v>
      </c>
      <c r="N94" s="182">
        <f>N93-G94</f>
        <v>9.0300000000000011</v>
      </c>
      <c r="Q94" s="182">
        <f t="shared" si="105"/>
        <v>7.6400000000000006</v>
      </c>
      <c r="R94" s="182">
        <f t="shared" si="111"/>
        <v>54.75</v>
      </c>
      <c r="V94" s="201">
        <f>IF(H93="AFIII",VLOOKUP(D94,Sheet1!$A$4:$H$18,5,FALSE),IF(H93="UBIII",VLOOKUP(D94,Sheet1!$A$4:$H$18,8,FALSE),IF(H93="",VLOOKUP(D94,Sheet1!$A$4:$H$18,2,FALSE),"0")))</f>
        <v>1768</v>
      </c>
      <c r="W94" s="201">
        <f t="shared" si="99"/>
        <v>0</v>
      </c>
      <c r="X94" s="208">
        <f t="shared" si="100"/>
        <v>3526</v>
      </c>
      <c r="Y94" s="171" t="str">
        <f t="shared" si="101"/>
        <v>SUCCESS</v>
      </c>
      <c r="Z94" s="171" t="str">
        <f t="shared" si="102"/>
        <v>SUCCESS</v>
      </c>
      <c r="AA94" s="185">
        <f t="shared" si="103"/>
        <v>146.20780359491445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604</v>
      </c>
      <c r="B95" s="113">
        <f t="shared" si="94"/>
        <v>33954</v>
      </c>
      <c r="C95" s="118">
        <f t="shared" si="95"/>
        <v>230.96000000000012</v>
      </c>
      <c r="D95" s="181" t="s">
        <v>6</v>
      </c>
      <c r="E95" s="182">
        <f>IF(H94="AFIII",VLOOKUP($D95,Sheet1!$A$34:$K$48,5,FALSE),IF(H94="UBIII",VLOOKUP($D95,Sheet1!$A$34:$K$48,8,FALSE),VLOOKUP($D95,Sheet1!$A$34:$K$48,2,FALSE)))</f>
        <v>2.86</v>
      </c>
      <c r="F95" s="182">
        <f>ROUNDDOWN((IF(H94="AFIII",VLOOKUP($D95,Sheet1!$A$34:$K$48,5,FALSE),IF(H94="UBIII",VLOOKUP($D95,Sheet1!$A$34:$K$48,8,FALSE),VLOOKUP($D95,Sheet1!$A$34:$K$48,2,FALSE))))*0.85,2)</f>
        <v>2.4300000000000002</v>
      </c>
      <c r="G95" s="182">
        <f t="shared" si="106"/>
        <v>2.86</v>
      </c>
      <c r="H95" s="183" t="s">
        <v>84</v>
      </c>
      <c r="I95" s="182">
        <f>I94-G95</f>
        <v>4.2800000000000011</v>
      </c>
      <c r="K95" s="182">
        <f t="shared" ref="K95:K100" si="112">K94-G95</f>
        <v>16.170000000000002</v>
      </c>
      <c r="L95" s="182">
        <f t="shared" ref="L95:L124" si="113">L94-G95</f>
        <v>76.17</v>
      </c>
      <c r="N95" s="182">
        <f t="shared" ref="N95:N100" si="114">N94-G95</f>
        <v>6.1700000000000017</v>
      </c>
      <c r="Q95" s="182">
        <f t="shared" si="105"/>
        <v>4.7800000000000011</v>
      </c>
      <c r="R95" s="182">
        <f t="shared" si="111"/>
        <v>51.89</v>
      </c>
      <c r="V95" s="201">
        <f>IF(H94="AFIII",VLOOKUP(D95,Sheet1!$A$4:$H$18,5,FALSE),IF(H94="UBIII",VLOOKUP(D95,Sheet1!$A$4:$H$18,8,FALSE),IF(H94="",VLOOKUP(D95,Sheet1!$A$4:$H$18,2,FALSE),"0")))</f>
        <v>1768</v>
      </c>
      <c r="W95" s="201">
        <f t="shared" si="99"/>
        <v>0</v>
      </c>
      <c r="X95" s="208">
        <f t="shared" si="100"/>
        <v>1758</v>
      </c>
      <c r="Y95" s="171" t="str">
        <f t="shared" si="101"/>
        <v>SUCCESS</v>
      </c>
      <c r="Z95" s="171" t="str">
        <f t="shared" si="102"/>
        <v>SUCCESS</v>
      </c>
      <c r="AA95" s="185">
        <f t="shared" si="103"/>
        <v>147.01246969172144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518</v>
      </c>
      <c r="B96" s="113">
        <f t="shared" si="94"/>
        <v>34472</v>
      </c>
      <c r="C96" s="118">
        <f>C95+G96</f>
        <v>233.35000000000011</v>
      </c>
      <c r="D96" s="181" t="s">
        <v>129</v>
      </c>
      <c r="E96" s="182">
        <f>IF(H95="AFIII",VLOOKUP($D96,Sheet1!$A$34:$K$48,5,FALSE),IF(H95="UBIII",VLOOKUP($D96,Sheet1!$A$34:$K$48,8,FALSE),VLOOKUP($D96,Sheet1!$A$34:$K$48,2,FALSE)))</f>
        <v>2.39</v>
      </c>
      <c r="F96" s="182">
        <f>ROUNDDOWN((IF(H95="AFIII",VLOOKUP($D96,Sheet1!$A$34:$K$48,5,FALSE),IF(H95="UBIII",VLOOKUP($D96,Sheet1!$A$34:$K$48,8,FALSE),VLOOKUP($D96,Sheet1!$A$34:$K$48,2,FALSE))))*0.85,2)</f>
        <v>2.0299999999999998</v>
      </c>
      <c r="G96" s="182">
        <f t="shared" si="106"/>
        <v>2.39</v>
      </c>
      <c r="H96" s="183" t="s">
        <v>84</v>
      </c>
      <c r="I96" s="182">
        <v>10</v>
      </c>
      <c r="K96" s="182">
        <f t="shared" si="112"/>
        <v>13.780000000000001</v>
      </c>
      <c r="L96" s="182">
        <f t="shared" si="113"/>
        <v>73.78</v>
      </c>
      <c r="M96" s="183" t="s">
        <v>100</v>
      </c>
      <c r="N96" s="182">
        <f t="shared" si="114"/>
        <v>3.7800000000000016</v>
      </c>
      <c r="O96" s="182">
        <v>180</v>
      </c>
      <c r="Q96" s="182">
        <f t="shared" si="105"/>
        <v>2.390000000000001</v>
      </c>
      <c r="R96" s="182">
        <f>R95-G96</f>
        <v>49.5</v>
      </c>
      <c r="V96" s="201">
        <f>IF(H95="AFIII",VLOOKUP(D96,Sheet1!$A$4:$H$18,5,FALSE),IF(H95="UBIII",VLOOKUP(D96,Sheet1!$A$4:$H$18,8,FALSE),IF(H95="",VLOOKUP(D96,Sheet1!$A$4:$H$18,2,FALSE),"0")))</f>
        <v>0</v>
      </c>
      <c r="W96" s="201">
        <f t="shared" si="99"/>
        <v>0</v>
      </c>
      <c r="X96" s="208">
        <f>IF(M96="コンバート",(IF(D96="フレア",0,IF(X95-V96+W96&gt;$X$3,$X$3-V96,X95-V96+W96)))+$X$1,IF(D96="フレア",0,IF(X95-V96+W96&gt;$X$3,$X$3-V96,X95-V96+W96)))</f>
        <v>5175</v>
      </c>
      <c r="Y96" s="171" t="str">
        <f t="shared" si="101"/>
        <v>SUCCESS</v>
      </c>
      <c r="Z96" s="171" t="str">
        <f t="shared" si="102"/>
        <v>SUCCESS</v>
      </c>
      <c r="AA96" s="185">
        <f t="shared" si="103"/>
        <v>147.72659095778866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604</v>
      </c>
      <c r="B97" s="113">
        <f t="shared" si="94"/>
        <v>35076</v>
      </c>
      <c r="C97" s="118">
        <f>C96+G97</f>
        <v>236.21000000000012</v>
      </c>
      <c r="D97" s="181" t="s">
        <v>6</v>
      </c>
      <c r="E97" s="182">
        <f>IF(H96="AFIII",VLOOKUP($D97,Sheet1!$A$34:$K$48,5,FALSE),IF(H96="UBIII",VLOOKUP($D97,Sheet1!$A$34:$K$48,8,FALSE),VLOOKUP($D97,Sheet1!$A$34:$K$48,2,FALSE)))</f>
        <v>2.86</v>
      </c>
      <c r="F97" s="182">
        <f>ROUNDDOWN((IF(H96="AFIII",VLOOKUP($D97,Sheet1!$A$34:$K$48,5,FALSE),IF(H96="UBIII",VLOOKUP($D97,Sheet1!$A$34:$K$48,8,FALSE),VLOOKUP($D97,Sheet1!$A$34:$K$48,2,FALSE))))*0.85,2)</f>
        <v>2.4300000000000002</v>
      </c>
      <c r="G97" s="182">
        <f t="shared" si="106"/>
        <v>2.86</v>
      </c>
      <c r="H97" s="183" t="s">
        <v>84</v>
      </c>
      <c r="I97" s="182">
        <f>I96-G97</f>
        <v>7.1400000000000006</v>
      </c>
      <c r="K97" s="182">
        <f t="shared" si="112"/>
        <v>10.920000000000002</v>
      </c>
      <c r="L97" s="182">
        <f t="shared" si="113"/>
        <v>70.92</v>
      </c>
      <c r="M97" s="183" t="s">
        <v>102</v>
      </c>
      <c r="N97" s="182">
        <f t="shared" si="114"/>
        <v>0.92000000000000171</v>
      </c>
      <c r="O97" s="182">
        <v>60</v>
      </c>
      <c r="Q97" s="182">
        <f t="shared" si="105"/>
        <v>-0.46999999999999886</v>
      </c>
      <c r="R97" s="182">
        <f>R96-G97</f>
        <v>46.64</v>
      </c>
      <c r="V97" s="201">
        <f>IF(H96="AFIII",VLOOKUP(D97,Sheet1!$A$4:$H$18,5,FALSE),IF(H96="UBIII",VLOOKUP(D97,Sheet1!$A$4:$H$18,8,FALSE),IF(H96="",VLOOKUP(D97,Sheet1!$A$4:$H$18,2,FALSE),"0")))</f>
        <v>1768</v>
      </c>
      <c r="W97" s="201">
        <f t="shared" si="99"/>
        <v>0</v>
      </c>
      <c r="X97" s="208">
        <f t="shared" ref="X97:X160" si="115">IF(M97="コンバート",(IF(D97="フレア",0,IF(X96-V97+W97&gt;$X$3,$X$3-V97,X96-V97+W97)))+$X$1,IF(D97="フレア",0,IF(X96-V97+W97&gt;$X$3,$X$3-V97,X96-V97+W97)))</f>
        <v>3407</v>
      </c>
      <c r="Y97" s="171" t="str">
        <f t="shared" si="101"/>
        <v>SUCCESS</v>
      </c>
      <c r="Z97" s="171" t="str">
        <f t="shared" si="102"/>
        <v>SUCCESS</v>
      </c>
      <c r="AA97" s="185">
        <f t="shared" si="103"/>
        <v>148.4949832775919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504</v>
      </c>
      <c r="B98" s="113">
        <f t="shared" si="94"/>
        <v>35580</v>
      </c>
      <c r="C98" s="118">
        <f t="shared" ref="C98:C125" si="116">C97+G98</f>
        <v>238.60000000000011</v>
      </c>
      <c r="D98" s="181" t="s">
        <v>247</v>
      </c>
      <c r="E98" s="182">
        <f>IF(H97="AFIII",VLOOKUP($D98,Sheet1!$A$34:$K$48,5,FALSE),IF(H97="UBIII",VLOOKUP($D98,Sheet1!$A$34:$K$48,8,FALSE),VLOOKUP($D98,Sheet1!$A$34:$K$48,2,FALSE)))</f>
        <v>2.86</v>
      </c>
      <c r="F98" s="182">
        <f>ROUNDDOWN((IF(H97="AFIII",VLOOKUP($D98,Sheet1!$A$34:$K$48,5,FALSE),IF(H97="UBIII",VLOOKUP($D98,Sheet1!$A$34:$K$48,8,FALSE),VLOOKUP($D98,Sheet1!$A$34:$K$48,2,FALSE))))*0.85,2)</f>
        <v>2.4300000000000002</v>
      </c>
      <c r="G98" s="182">
        <f>IF(M97="迅速",IF(S97="黒魔紋",$F$1,$E$1),IF(S97="黒魔紋",IF(F98&lt;$F$1,$F$1,F98),IF(E98&lt;$E$1,$E$1,E98)))</f>
        <v>2.39</v>
      </c>
      <c r="H98" s="183" t="s">
        <v>84</v>
      </c>
      <c r="I98" s="182">
        <f>I97-G98</f>
        <v>4.75</v>
      </c>
      <c r="K98" s="182">
        <f t="shared" si="112"/>
        <v>8.5300000000000011</v>
      </c>
      <c r="L98" s="182">
        <f t="shared" si="113"/>
        <v>68.53</v>
      </c>
      <c r="N98" s="182">
        <f t="shared" si="114"/>
        <v>-1.4699999999999984</v>
      </c>
      <c r="O98" s="182">
        <f>O97-G98</f>
        <v>57.61</v>
      </c>
      <c r="Q98" s="182">
        <f t="shared" si="105"/>
        <v>-2.859999999999999</v>
      </c>
      <c r="R98" s="182">
        <f t="shared" ref="R98:R113" si="117">R97-G98</f>
        <v>44.25</v>
      </c>
      <c r="V98" s="201">
        <f>IF(H97="AFIII",VLOOKUP(D98,Sheet1!$A$4:$H$18,5,FALSE),IF(H97="UBIII",VLOOKUP(D98,Sheet1!$A$4:$H$18,8,FALSE),IF(H97="",VLOOKUP(D98,Sheet1!$A$4:$H$18,2,FALSE),"0")))</f>
        <v>1768</v>
      </c>
      <c r="W98" s="201">
        <f t="shared" si="99"/>
        <v>0</v>
      </c>
      <c r="X98" s="208">
        <f t="shared" si="115"/>
        <v>1639</v>
      </c>
      <c r="Y98" s="171" t="str">
        <f t="shared" si="101"/>
        <v>SUCCESS</v>
      </c>
      <c r="Z98" s="171" t="str">
        <f t="shared" si="102"/>
        <v>SUCCESS</v>
      </c>
      <c r="AA98" s="185">
        <f t="shared" si="103"/>
        <v>149.11986588432515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168</v>
      </c>
      <c r="B99" s="113">
        <f t="shared" si="94"/>
        <v>35748</v>
      </c>
      <c r="C99" s="118">
        <f t="shared" si="116"/>
        <v>240.99000000000009</v>
      </c>
      <c r="D99" s="181" t="s">
        <v>12</v>
      </c>
      <c r="E99" s="182">
        <f>IF(H98="AFIII",VLOOKUP($D99,Sheet1!$A$34:$K$48,5,FALSE),IF(H98="UBIII",VLOOKUP($D99,Sheet1!$A$34:$K$48,8,FALSE),VLOOKUP($D99,Sheet1!$A$34:$K$48,2,FALSE)))</f>
        <v>1.67</v>
      </c>
      <c r="F99" s="182">
        <f>ROUNDDOWN((IF(H98="AFIII",VLOOKUP($D99,Sheet1!$A$34:$K$48,5,FALSE),IF(H98="UBIII",VLOOKUP($D99,Sheet1!$A$34:$K$48,8,FALSE),VLOOKUP($D99,Sheet1!$A$34:$K$48,2,FALSE))))*0.85,2)</f>
        <v>1.41</v>
      </c>
      <c r="G99" s="182">
        <f>IF(M98="迅速",IF(S98="黒魔紋",$F$1,$E$1),IF(S98="黒魔紋",IF(F99&lt;$F$1,$F$1,F99),IF(E99&lt;$E$1,$E$1,E99)))</f>
        <v>2.39</v>
      </c>
      <c r="H99" s="183" t="s">
        <v>122</v>
      </c>
      <c r="I99" s="182">
        <v>10</v>
      </c>
      <c r="K99" s="182">
        <f t="shared" si="112"/>
        <v>6.1400000000000006</v>
      </c>
      <c r="L99" s="182">
        <f t="shared" si="113"/>
        <v>66.14</v>
      </c>
      <c r="N99" s="182">
        <f t="shared" si="114"/>
        <v>-3.8599999999999985</v>
      </c>
      <c r="O99" s="182">
        <f>O98-G99</f>
        <v>55.22</v>
      </c>
      <c r="Q99" s="182">
        <f t="shared" si="105"/>
        <v>-5.2499999999999991</v>
      </c>
      <c r="R99" s="182">
        <f t="shared" si="117"/>
        <v>41.86</v>
      </c>
      <c r="V99" s="201">
        <f>IF(H98="AFIII",VLOOKUP(D99,Sheet1!$A$4:$H$18,5,FALSE),IF(H98="UBIII",VLOOKUP(D99,Sheet1!$A$4:$H$18,8,FALSE),IF(H98="",VLOOKUP(D99,Sheet1!$A$4:$H$18,2,FALSE),"0")))</f>
        <v>265</v>
      </c>
      <c r="W99" s="201">
        <f t="shared" si="99"/>
        <v>0</v>
      </c>
      <c r="X99" s="208">
        <f t="shared" si="115"/>
        <v>1374</v>
      </c>
      <c r="Y99" s="171" t="str">
        <f t="shared" si="101"/>
        <v>SUCCESS</v>
      </c>
      <c r="Z99" s="171" t="str">
        <f t="shared" si="102"/>
        <v>SUCCESS</v>
      </c>
      <c r="AA99" s="185">
        <f t="shared" si="103"/>
        <v>148.33810531557322</v>
      </c>
    </row>
    <row r="100" spans="1:27">
      <c r="A100" s="112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295</v>
      </c>
      <c r="B100" s="113">
        <f t="shared" si="94"/>
        <v>36043</v>
      </c>
      <c r="C100" s="118">
        <f t="shared" si="116"/>
        <v>243.85000000000011</v>
      </c>
      <c r="D100" s="181" t="s">
        <v>19</v>
      </c>
      <c r="E100" s="182">
        <f>IF(H99="AFIII",VLOOKUP($D100,Sheet1!$A$34:$K$48,5,FALSE),IF(H99="UBIII",VLOOKUP($D100,Sheet1!$A$34:$K$48,8,FALSE),VLOOKUP($D100,Sheet1!$A$34:$K$48,2,FALSE)))</f>
        <v>2.86</v>
      </c>
      <c r="F100" s="182">
        <f>ROUNDDOWN((IF(H99="AFIII",VLOOKUP($D100,Sheet1!$A$34:$K$48,5,FALSE),IF(H99="UBIII",VLOOKUP($D100,Sheet1!$A$34:$K$48,8,FALSE),VLOOKUP($D100,Sheet1!$A$34:$K$48,2,FALSE))))*0.85,2)</f>
        <v>2.4300000000000002</v>
      </c>
      <c r="G100" s="182">
        <f>IF(M99="迅速",IF(S99="黒魔紋",$F$1,$E$1),IF(S99="黒魔紋",IF(F100&lt;$F$1,$F$1,F100),IF(E100&lt;$E$1,$E$1,E100)))</f>
        <v>2.86</v>
      </c>
      <c r="H100" s="183" t="s">
        <v>122</v>
      </c>
      <c r="I100" s="182">
        <f t="shared" ref="I100:I101" si="118">I99-G100</f>
        <v>7.1400000000000006</v>
      </c>
      <c r="K100" s="182">
        <f t="shared" si="112"/>
        <v>3.2800000000000007</v>
      </c>
      <c r="L100" s="182">
        <f t="shared" si="113"/>
        <v>63.28</v>
      </c>
      <c r="N100" s="182">
        <f t="shared" si="114"/>
        <v>-6.7199999999999989</v>
      </c>
      <c r="O100" s="182">
        <f>O99-G100</f>
        <v>52.36</v>
      </c>
      <c r="Q100" s="182">
        <f t="shared" si="105"/>
        <v>-8.11</v>
      </c>
      <c r="R100" s="182">
        <f t="shared" si="117"/>
        <v>39</v>
      </c>
      <c r="V100" s="201">
        <f>IF(H99="AFIII",VLOOKUP(D100,Sheet1!$A$4:$H$18,5,FALSE),IF(H99="UBIII",VLOOKUP(D100,Sheet1!$A$4:$H$18,8,FALSE),IF(H99="",VLOOKUP(D100,Sheet1!$A$4:$H$18,2,FALSE),"0")))</f>
        <v>1060</v>
      </c>
      <c r="W100" s="201">
        <f t="shared" si="99"/>
        <v>7033</v>
      </c>
      <c r="X100" s="208">
        <f t="shared" si="115"/>
        <v>7347</v>
      </c>
      <c r="Y100" s="171" t="str">
        <f t="shared" si="101"/>
        <v>SUCCESS</v>
      </c>
      <c r="Z100" s="171" t="str">
        <f t="shared" si="102"/>
        <v>SUCCESS</v>
      </c>
      <c r="AA100" s="185">
        <f t="shared" si="103"/>
        <v>147.80807873692837</v>
      </c>
    </row>
    <row r="101" spans="1:27">
      <c r="A101" s="119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280</v>
      </c>
      <c r="B101" s="120">
        <f t="shared" si="94"/>
        <v>36323</v>
      </c>
      <c r="C101" s="121">
        <f t="shared" si="116"/>
        <v>246.71000000000012</v>
      </c>
      <c r="D101" s="191" t="s">
        <v>14</v>
      </c>
      <c r="E101" s="192">
        <f>IF(H100="AFIII",VLOOKUP($D101,Sheet1!$A$34:$K$48,5,FALSE),IF(H100="UBIII",VLOOKUP($D101,Sheet1!$A$34:$K$48,8,FALSE),VLOOKUP($D101,Sheet1!$A$34:$K$48,2,FALSE)))</f>
        <v>2.86</v>
      </c>
      <c r="F101" s="192">
        <f>ROUNDDOWN((IF(H100="AFIII",VLOOKUP($D101,Sheet1!$A$34:$K$48,5,FALSE),IF(H100="UBIII",VLOOKUP($D101,Sheet1!$A$34:$K$48,8,FALSE),VLOOKUP($D101,Sheet1!$A$34:$K$48,2,FALSE))))*0.85,2)</f>
        <v>2.4300000000000002</v>
      </c>
      <c r="G101" s="192">
        <f t="shared" ref="G101:G141" si="119">IF(M100="迅速",IF(S100="黒魔紋",$F$1,$E$1),IF(S100="黒魔紋",IF(F101&lt;$F$1,$F$1,F101),IF(E101&lt;$E$1,$E$1,E101)))</f>
        <v>2.86</v>
      </c>
      <c r="H101" s="193" t="s">
        <v>122</v>
      </c>
      <c r="I101" s="192">
        <f t="shared" si="118"/>
        <v>4.2800000000000011</v>
      </c>
      <c r="J101" s="193"/>
      <c r="K101" s="192">
        <v>25</v>
      </c>
      <c r="L101" s="192">
        <f t="shared" si="113"/>
        <v>60.42</v>
      </c>
      <c r="M101" s="193"/>
      <c r="N101" s="192"/>
      <c r="O101" s="192">
        <f t="shared" ref="O101:O102" si="120">O100-G101</f>
        <v>49.5</v>
      </c>
      <c r="P101" s="193"/>
      <c r="Q101" s="192"/>
      <c r="R101" s="192">
        <f t="shared" si="117"/>
        <v>36.14</v>
      </c>
      <c r="S101" s="193"/>
      <c r="T101" s="192"/>
      <c r="U101" s="194"/>
      <c r="V101" s="211">
        <f>IF(H100="AFIII",VLOOKUP(D101,Sheet1!$A$4:$H$18,5,FALSE),IF(H100="UBIII",VLOOKUP(D101,Sheet1!$A$4:$H$18,8,FALSE),IF(H100="",VLOOKUP(D101,Sheet1!$A$4:$H$18,2,FALSE),"0")))</f>
        <v>884</v>
      </c>
      <c r="W101" s="211">
        <f t="shared" si="99"/>
        <v>7033</v>
      </c>
      <c r="X101" s="212">
        <f t="shared" si="115"/>
        <v>10508</v>
      </c>
      <c r="Y101" s="195" t="str">
        <f t="shared" si="101"/>
        <v>SUCCESS</v>
      </c>
      <c r="Z101" s="195" t="str">
        <f t="shared" si="102"/>
        <v>SUCCESS</v>
      </c>
      <c r="AA101" s="185">
        <f t="shared" si="103"/>
        <v>147.22954075635354</v>
      </c>
    </row>
    <row r="102" spans="1:27">
      <c r="A102" s="112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168</v>
      </c>
      <c r="B102" s="113">
        <f t="shared" si="94"/>
        <v>36491</v>
      </c>
      <c r="C102" s="118">
        <f t="shared" si="116"/>
        <v>249.10000000000011</v>
      </c>
      <c r="D102" s="181" t="s">
        <v>4</v>
      </c>
      <c r="E102" s="182">
        <f>IF(H101="AFIII",VLOOKUP($D102,Sheet1!$A$34:$K$48,5,FALSE),IF(H101="UBIII",VLOOKUP($D102,Sheet1!$A$34:$K$48,8,FALSE),VLOOKUP($D102,Sheet1!$A$34:$K$48,2,FALSE)))</f>
        <v>1.67</v>
      </c>
      <c r="F102" s="182">
        <f>ROUNDDOWN((IF(H101="AFIII",VLOOKUP($D102,Sheet1!$A$34:$K$48,5,FALSE),IF(H101="UBIII",VLOOKUP($D102,Sheet1!$A$34:$K$48,8,FALSE),VLOOKUP($D102,Sheet1!$A$34:$K$48,2,FALSE))))*0.85,2)</f>
        <v>1.41</v>
      </c>
      <c r="G102" s="182">
        <f t="shared" si="119"/>
        <v>2.39</v>
      </c>
      <c r="H102" s="183" t="s">
        <v>84</v>
      </c>
      <c r="I102" s="182">
        <v>10</v>
      </c>
      <c r="K102" s="182">
        <f>K101-G102</f>
        <v>22.61</v>
      </c>
      <c r="L102" s="182">
        <f t="shared" si="113"/>
        <v>58.03</v>
      </c>
      <c r="O102" s="182">
        <f t="shared" si="120"/>
        <v>47.11</v>
      </c>
      <c r="R102" s="182">
        <f t="shared" si="117"/>
        <v>33.75</v>
      </c>
      <c r="V102" s="201">
        <f>IF(H101="AFIII",VLOOKUP(D102,Sheet1!$A$4:$H$18,5,FALSE),IF(H101="UBIII",VLOOKUP(D102,Sheet1!$A$4:$H$18,8,FALSE),IF(H101="",VLOOKUP(D102,Sheet1!$A$4:$H$18,2,FALSE),"0")))</f>
        <v>442</v>
      </c>
      <c r="W102" s="201">
        <f t="shared" si="99"/>
        <v>7033</v>
      </c>
      <c r="X102" s="208">
        <f t="shared" si="115"/>
        <v>10950</v>
      </c>
      <c r="Y102" s="171" t="str">
        <f t="shared" si="101"/>
        <v>SUCCESS</v>
      </c>
      <c r="Z102" s="171" t="str">
        <f t="shared" si="102"/>
        <v>SUCCESS</v>
      </c>
      <c r="AA102" s="185">
        <f t="shared" si="103"/>
        <v>146.49136892814124</v>
      </c>
    </row>
    <row r="103" spans="1:27">
      <c r="A103" s="112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504</v>
      </c>
      <c r="B103" s="113">
        <f t="shared" si="94"/>
        <v>36995</v>
      </c>
      <c r="C103" s="118">
        <f t="shared" si="116"/>
        <v>251.96000000000012</v>
      </c>
      <c r="D103" s="181" t="s">
        <v>6</v>
      </c>
      <c r="E103" s="182">
        <f>IF(H102="AFIII",VLOOKUP($D103,Sheet1!$A$34:$K$48,5,FALSE),IF(H102="UBIII",VLOOKUP($D103,Sheet1!$A$34:$K$48,8,FALSE),VLOOKUP($D103,Sheet1!$A$34:$K$48,2,FALSE)))</f>
        <v>2.86</v>
      </c>
      <c r="F103" s="182">
        <f>ROUNDDOWN((IF(H102="AFIII",VLOOKUP($D103,Sheet1!$A$34:$K$48,5,FALSE),IF(H102="UBIII",VLOOKUP($D103,Sheet1!$A$34:$K$48,8,FALSE),VLOOKUP($D103,Sheet1!$A$34:$K$48,2,FALSE))))*0.85,2)</f>
        <v>2.4300000000000002</v>
      </c>
      <c r="G103" s="182">
        <f t="shared" si="119"/>
        <v>2.86</v>
      </c>
      <c r="H103" s="183" t="s">
        <v>84</v>
      </c>
      <c r="I103" s="182">
        <f>I102-G103</f>
        <v>7.1400000000000006</v>
      </c>
      <c r="K103" s="182">
        <f t="shared" ref="K103:K109" si="121">K102-G103</f>
        <v>19.75</v>
      </c>
      <c r="L103" s="182">
        <f t="shared" si="113"/>
        <v>55.17</v>
      </c>
      <c r="O103" s="182">
        <f>O102-G103</f>
        <v>44.25</v>
      </c>
      <c r="R103" s="182">
        <f t="shared" si="117"/>
        <v>30.89</v>
      </c>
      <c r="V103" s="201">
        <f>IF(H102="AFIII",VLOOKUP(D103,Sheet1!$A$4:$H$18,5,FALSE),IF(H102="UBIII",VLOOKUP(D103,Sheet1!$A$4:$H$18,8,FALSE),IF(H102="",VLOOKUP(D103,Sheet1!$A$4:$H$18,2,FALSE),"0")))</f>
        <v>1768</v>
      </c>
      <c r="W103" s="201">
        <f t="shared" si="99"/>
        <v>0</v>
      </c>
      <c r="X103" s="208">
        <f t="shared" si="115"/>
        <v>9182</v>
      </c>
      <c r="Y103" s="171" t="str">
        <f t="shared" si="101"/>
        <v>SUCCESS</v>
      </c>
      <c r="Z103" s="171" t="str">
        <f t="shared" si="102"/>
        <v>SUCCESS</v>
      </c>
      <c r="AA103" s="185">
        <f t="shared" si="103"/>
        <v>146.82886172408311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504</v>
      </c>
      <c r="B104" s="113">
        <f t="shared" si="94"/>
        <v>37499</v>
      </c>
      <c r="C104" s="118">
        <f t="shared" si="116"/>
        <v>254.82000000000014</v>
      </c>
      <c r="D104" s="181" t="s">
        <v>6</v>
      </c>
      <c r="E104" s="182">
        <f>IF(H103="AFIII",VLOOKUP($D104,Sheet1!$A$34:$K$48,5,FALSE),IF(H103="UBIII",VLOOKUP($D104,Sheet1!$A$34:$K$48,8,FALSE),VLOOKUP($D104,Sheet1!$A$34:$K$48,2,FALSE)))</f>
        <v>2.86</v>
      </c>
      <c r="F104" s="182">
        <f>ROUNDDOWN((IF(H103="AFIII",VLOOKUP($D104,Sheet1!$A$34:$K$48,5,FALSE),IF(H103="UBIII",VLOOKUP($D104,Sheet1!$A$34:$K$48,8,FALSE),VLOOKUP($D104,Sheet1!$A$34:$K$48,2,FALSE))))*0.85,2)</f>
        <v>2.4300000000000002</v>
      </c>
      <c r="G104" s="182">
        <f t="shared" si="119"/>
        <v>2.86</v>
      </c>
      <c r="H104" s="183" t="s">
        <v>84</v>
      </c>
      <c r="I104" s="182">
        <f>I103-G104</f>
        <v>4.2800000000000011</v>
      </c>
      <c r="K104" s="182">
        <f t="shared" si="121"/>
        <v>16.89</v>
      </c>
      <c r="L104" s="182">
        <f t="shared" si="113"/>
        <v>52.31</v>
      </c>
      <c r="O104" s="182">
        <f t="shared" ref="O104:O110" si="122">O103-G104</f>
        <v>41.39</v>
      </c>
      <c r="R104" s="182">
        <f t="shared" si="117"/>
        <v>28.03</v>
      </c>
      <c r="V104" s="201">
        <f>IF(H103="AFIII",VLOOKUP(D104,Sheet1!$A$4:$H$18,5,FALSE),IF(H103="UBIII",VLOOKUP(D104,Sheet1!$A$4:$H$18,8,FALSE),IF(H103="",VLOOKUP(D104,Sheet1!$A$4:$H$18,2,FALSE),"0")))</f>
        <v>1768</v>
      </c>
      <c r="W104" s="201">
        <f t="shared" si="99"/>
        <v>0</v>
      </c>
      <c r="X104" s="208">
        <f t="shared" si="115"/>
        <v>7414</v>
      </c>
      <c r="Y104" s="171" t="str">
        <f t="shared" si="101"/>
        <v>SUCCESS</v>
      </c>
      <c r="Z104" s="171" t="str">
        <f t="shared" si="102"/>
        <v>SUCCESS</v>
      </c>
      <c r="AA104" s="185">
        <f t="shared" si="103"/>
        <v>147.15877874578126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324</v>
      </c>
      <c r="B105" s="113">
        <f t="shared" si="94"/>
        <v>37823</v>
      </c>
      <c r="C105" s="118">
        <f t="shared" si="116"/>
        <v>257.21000000000015</v>
      </c>
      <c r="D105" s="181" t="s">
        <v>1</v>
      </c>
      <c r="E105" s="182">
        <f>IF(H104="AFIII",VLOOKUP($D105,Sheet1!$A$34:$K$48,5,FALSE),IF(H104="UBIII",VLOOKUP($D105,Sheet1!$A$34:$K$48,8,FALSE),VLOOKUP($D105,Sheet1!$A$34:$K$48,2,FALSE)))</f>
        <v>2.39</v>
      </c>
      <c r="F105" s="182">
        <f>ROUNDDOWN((IF(H104="AFIII",VLOOKUP($D105,Sheet1!$A$34:$K$48,5,FALSE),IF(H104="UBIII",VLOOKUP($D105,Sheet1!$A$34:$K$48,8,FALSE),VLOOKUP($D105,Sheet1!$A$34:$K$48,2,FALSE))))*0.85,2)</f>
        <v>2.0299999999999998</v>
      </c>
      <c r="G105" s="182">
        <f t="shared" si="119"/>
        <v>2.39</v>
      </c>
      <c r="H105" s="183" t="s">
        <v>84</v>
      </c>
      <c r="I105" s="182">
        <v>10</v>
      </c>
      <c r="K105" s="182">
        <f t="shared" si="121"/>
        <v>14.5</v>
      </c>
      <c r="L105" s="182">
        <f t="shared" si="113"/>
        <v>49.92</v>
      </c>
      <c r="O105" s="182">
        <f t="shared" si="122"/>
        <v>39</v>
      </c>
      <c r="R105" s="182">
        <f t="shared" si="117"/>
        <v>25.64</v>
      </c>
      <c r="V105" s="201">
        <f>IF(H104="AFIII",VLOOKUP(D105,Sheet1!$A$4:$H$18,5,FALSE),IF(H104="UBIII",VLOOKUP(D105,Sheet1!$A$4:$H$18,8,FALSE),IF(H104="",VLOOKUP(D105,Sheet1!$A$4:$H$18,2,FALSE),"0")))</f>
        <v>2120</v>
      </c>
      <c r="W105" s="201">
        <f t="shared" si="99"/>
        <v>0</v>
      </c>
      <c r="X105" s="208">
        <f t="shared" si="115"/>
        <v>5294</v>
      </c>
      <c r="Y105" s="171" t="str">
        <f t="shared" si="101"/>
        <v>SUCCESS</v>
      </c>
      <c r="Z105" s="171" t="str">
        <f t="shared" si="102"/>
        <v>SUCCESS</v>
      </c>
      <c r="AA105" s="185">
        <f t="shared" si="103"/>
        <v>147.05104778196795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504</v>
      </c>
      <c r="B106" s="113">
        <f t="shared" si="94"/>
        <v>38327</v>
      </c>
      <c r="C106" s="118">
        <f t="shared" si="116"/>
        <v>260.07000000000016</v>
      </c>
      <c r="D106" s="181" t="s">
        <v>6</v>
      </c>
      <c r="E106" s="182">
        <f>IF(H105="AFIII",VLOOKUP($D106,Sheet1!$A$34:$K$48,5,FALSE),IF(H105="UBIII",VLOOKUP($D106,Sheet1!$A$34:$K$48,8,FALSE),VLOOKUP($D106,Sheet1!$A$34:$K$48,2,FALSE)))</f>
        <v>2.86</v>
      </c>
      <c r="F106" s="182">
        <f>ROUNDDOWN((IF(H105="AFIII",VLOOKUP($D106,Sheet1!$A$34:$K$48,5,FALSE),IF(H105="UBIII",VLOOKUP($D106,Sheet1!$A$34:$K$48,8,FALSE),VLOOKUP($D106,Sheet1!$A$34:$K$48,2,FALSE))))*0.85,2)</f>
        <v>2.4300000000000002</v>
      </c>
      <c r="G106" s="182">
        <f t="shared" si="119"/>
        <v>2.86</v>
      </c>
      <c r="H106" s="183" t="s">
        <v>84</v>
      </c>
      <c r="I106" s="182">
        <f>I105-G106</f>
        <v>7.1400000000000006</v>
      </c>
      <c r="K106" s="182">
        <f t="shared" si="121"/>
        <v>11.64</v>
      </c>
      <c r="L106" s="182">
        <f t="shared" si="113"/>
        <v>47.06</v>
      </c>
      <c r="O106" s="182">
        <f t="shared" si="122"/>
        <v>36.14</v>
      </c>
      <c r="R106" s="182">
        <f t="shared" si="117"/>
        <v>22.78</v>
      </c>
      <c r="V106" s="201">
        <f>IF(H105="AFIII",VLOOKUP(D106,Sheet1!$A$4:$H$18,5,FALSE),IF(H105="UBIII",VLOOKUP(D106,Sheet1!$A$4:$H$18,8,FALSE),IF(H105="",VLOOKUP(D106,Sheet1!$A$4:$H$18,2,FALSE),"0")))</f>
        <v>1768</v>
      </c>
      <c r="W106" s="201">
        <f t="shared" si="99"/>
        <v>0</v>
      </c>
      <c r="X106" s="208">
        <f t="shared" si="115"/>
        <v>3526</v>
      </c>
      <c r="Y106" s="171" t="str">
        <f t="shared" si="101"/>
        <v>SUCCESS</v>
      </c>
      <c r="Z106" s="171" t="str">
        <f t="shared" si="102"/>
        <v>SUCCESS</v>
      </c>
      <c r="AA106" s="185">
        <f t="shared" si="103"/>
        <v>147.37186142192476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504</v>
      </c>
      <c r="B107" s="113">
        <f t="shared" si="94"/>
        <v>38831</v>
      </c>
      <c r="C107" s="118">
        <f t="shared" si="116"/>
        <v>262.93000000000018</v>
      </c>
      <c r="D107" s="181" t="s">
        <v>6</v>
      </c>
      <c r="E107" s="182">
        <f>IF(H106="AFIII",VLOOKUP($D107,Sheet1!$A$34:$K$48,5,FALSE),IF(H106="UBIII",VLOOKUP($D107,Sheet1!$A$34:$K$48,8,FALSE),VLOOKUP($D107,Sheet1!$A$34:$K$48,2,FALSE)))</f>
        <v>2.86</v>
      </c>
      <c r="F107" s="182">
        <f>ROUNDDOWN((IF(H106="AFIII",VLOOKUP($D107,Sheet1!$A$34:$K$48,5,FALSE),IF(H106="UBIII",VLOOKUP($D107,Sheet1!$A$34:$K$48,8,FALSE),VLOOKUP($D107,Sheet1!$A$34:$K$48,2,FALSE))))*0.85,2)</f>
        <v>2.4300000000000002</v>
      </c>
      <c r="G107" s="182">
        <f t="shared" si="119"/>
        <v>2.86</v>
      </c>
      <c r="H107" s="183" t="s">
        <v>84</v>
      </c>
      <c r="I107" s="182">
        <f>I106-G107</f>
        <v>4.2800000000000011</v>
      </c>
      <c r="K107" s="182">
        <f t="shared" si="121"/>
        <v>8.7800000000000011</v>
      </c>
      <c r="L107" s="182">
        <f t="shared" si="113"/>
        <v>44.2</v>
      </c>
      <c r="O107" s="182">
        <f t="shared" si="122"/>
        <v>33.28</v>
      </c>
      <c r="R107" s="182">
        <f t="shared" si="117"/>
        <v>19.920000000000002</v>
      </c>
      <c r="V107" s="201">
        <f>IF(H106="AFIII",VLOOKUP(D107,Sheet1!$A$4:$H$18,5,FALSE),IF(H106="UBIII",VLOOKUP(D107,Sheet1!$A$4:$H$18,8,FALSE),IF(H106="",VLOOKUP(D107,Sheet1!$A$4:$H$18,2,FALSE),"0")))</f>
        <v>1768</v>
      </c>
      <c r="W107" s="201">
        <f t="shared" si="99"/>
        <v>0</v>
      </c>
      <c r="X107" s="208">
        <f t="shared" si="115"/>
        <v>1758</v>
      </c>
      <c r="Y107" s="171" t="str">
        <f t="shared" si="101"/>
        <v>SUCCESS</v>
      </c>
      <c r="Z107" s="171" t="str">
        <f t="shared" si="102"/>
        <v>SUCCESS</v>
      </c>
      <c r="AA107" s="185">
        <f t="shared" si="103"/>
        <v>147.68569581257358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168</v>
      </c>
      <c r="B108" s="113">
        <f t="shared" si="94"/>
        <v>38999</v>
      </c>
      <c r="C108" s="118">
        <f t="shared" si="116"/>
        <v>265.32000000000016</v>
      </c>
      <c r="D108" s="181" t="s">
        <v>12</v>
      </c>
      <c r="E108" s="182">
        <f>IF(H107="AFIII",VLOOKUP($D108,Sheet1!$A$34:$K$48,5,FALSE),IF(H107="UBIII",VLOOKUP($D108,Sheet1!$A$34:$K$48,8,FALSE),VLOOKUP($D108,Sheet1!$A$34:$K$48,2,FALSE)))</f>
        <v>1.67</v>
      </c>
      <c r="F108" s="182">
        <f>ROUNDDOWN((IF(H107="AFIII",VLOOKUP($D108,Sheet1!$A$34:$K$48,5,FALSE),IF(H107="UBIII",VLOOKUP($D108,Sheet1!$A$34:$K$48,8,FALSE),VLOOKUP($D108,Sheet1!$A$34:$K$48,2,FALSE))))*0.85,2)</f>
        <v>1.41</v>
      </c>
      <c r="G108" s="182">
        <f t="shared" si="119"/>
        <v>2.39</v>
      </c>
      <c r="H108" s="183" t="s">
        <v>122</v>
      </c>
      <c r="I108" s="182">
        <v>10</v>
      </c>
      <c r="K108" s="182">
        <f t="shared" si="121"/>
        <v>6.3900000000000006</v>
      </c>
      <c r="L108" s="182">
        <f t="shared" si="113"/>
        <v>41.81</v>
      </c>
      <c r="O108" s="182">
        <f t="shared" si="122"/>
        <v>30.89</v>
      </c>
      <c r="R108" s="182">
        <f t="shared" si="117"/>
        <v>17.53</v>
      </c>
      <c r="S108" s="183" t="s">
        <v>52</v>
      </c>
      <c r="T108" s="182">
        <v>30</v>
      </c>
      <c r="U108" s="184">
        <v>90</v>
      </c>
      <c r="V108" s="201">
        <f>IF(H107="AFIII",VLOOKUP(D108,Sheet1!$A$4:$H$18,5,FALSE),IF(H107="UBIII",VLOOKUP(D108,Sheet1!$A$4:$H$18,8,FALSE),IF(H107="",VLOOKUP(D108,Sheet1!$A$4:$H$18,2,FALSE),"0")))</f>
        <v>265</v>
      </c>
      <c r="W108" s="201">
        <f t="shared" si="99"/>
        <v>0</v>
      </c>
      <c r="X108" s="208">
        <f t="shared" si="115"/>
        <v>1493</v>
      </c>
      <c r="Y108" s="171" t="str">
        <f t="shared" si="101"/>
        <v>SUCCESS</v>
      </c>
      <c r="Z108" s="171" t="str">
        <f t="shared" si="102"/>
        <v>SUCCESS</v>
      </c>
      <c r="AA108" s="185">
        <f t="shared" si="103"/>
        <v>146.98854213779578</v>
      </c>
    </row>
    <row r="109" spans="1:27">
      <c r="A109" s="112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295</v>
      </c>
      <c r="B109" s="113">
        <f t="shared" si="94"/>
        <v>39294</v>
      </c>
      <c r="C109" s="118">
        <f t="shared" si="116"/>
        <v>267.75000000000017</v>
      </c>
      <c r="D109" s="181" t="s">
        <v>19</v>
      </c>
      <c r="E109" s="182">
        <f>IF(H108="AFIII",VLOOKUP($D109,Sheet1!$A$34:$K$48,5,FALSE),IF(H108="UBIII",VLOOKUP($D109,Sheet1!$A$34:$K$48,8,FALSE),VLOOKUP($D109,Sheet1!$A$34:$K$48,2,FALSE)))</f>
        <v>2.86</v>
      </c>
      <c r="F109" s="182">
        <f>ROUNDDOWN((IF(H108="AFIII",VLOOKUP($D109,Sheet1!$A$34:$K$48,5,FALSE),IF(H108="UBIII",VLOOKUP($D109,Sheet1!$A$34:$K$48,8,FALSE),VLOOKUP($D109,Sheet1!$A$34:$K$48,2,FALSE))))*0.85,2)</f>
        <v>2.4300000000000002</v>
      </c>
      <c r="G109" s="182">
        <f t="shared" si="119"/>
        <v>2.4300000000000002</v>
      </c>
      <c r="H109" s="183" t="s">
        <v>122</v>
      </c>
      <c r="I109" s="182">
        <f>I108-G109</f>
        <v>7.57</v>
      </c>
      <c r="K109" s="182">
        <f t="shared" si="121"/>
        <v>3.9600000000000004</v>
      </c>
      <c r="L109" s="182">
        <f t="shared" si="113"/>
        <v>39.380000000000003</v>
      </c>
      <c r="O109" s="182">
        <f t="shared" si="122"/>
        <v>28.46</v>
      </c>
      <c r="R109" s="182">
        <f t="shared" si="117"/>
        <v>15.100000000000001</v>
      </c>
      <c r="S109" s="183" t="s">
        <v>87</v>
      </c>
      <c r="T109" s="182">
        <f t="shared" ref="T109:T122" si="123">T108-G109</f>
        <v>27.57</v>
      </c>
      <c r="U109" s="184">
        <f t="shared" ref="U109:U145" si="124">U108-G109</f>
        <v>87.57</v>
      </c>
      <c r="V109" s="201">
        <f>IF(H108="AFIII",VLOOKUP(D109,Sheet1!$A$4:$H$18,5,FALSE),IF(H108="UBIII",VLOOKUP(D109,Sheet1!$A$4:$H$18,8,FALSE),IF(H108="",VLOOKUP(D109,Sheet1!$A$4:$H$18,2,FALSE),"0")))</f>
        <v>1060</v>
      </c>
      <c r="W109" s="201">
        <f t="shared" si="99"/>
        <v>7033</v>
      </c>
      <c r="X109" s="208">
        <f t="shared" si="115"/>
        <v>7466</v>
      </c>
      <c r="Y109" s="171" t="str">
        <f t="shared" si="101"/>
        <v>SUCCESS</v>
      </c>
      <c r="Z109" s="171" t="str">
        <f t="shared" si="102"/>
        <v>SUCCESS</v>
      </c>
      <c r="AA109" s="185">
        <f t="shared" si="103"/>
        <v>146.75630252100831</v>
      </c>
    </row>
    <row r="110" spans="1:27">
      <c r="A110" s="119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280</v>
      </c>
      <c r="B110" s="120">
        <f t="shared" si="94"/>
        <v>39574</v>
      </c>
      <c r="C110" s="121">
        <f t="shared" si="116"/>
        <v>270.18000000000018</v>
      </c>
      <c r="D110" s="191" t="s">
        <v>14</v>
      </c>
      <c r="E110" s="192">
        <f>IF(H109="AFIII",VLOOKUP($D110,Sheet1!$A$34:$K$48,5,FALSE),IF(H109="UBIII",VLOOKUP($D110,Sheet1!$A$34:$K$48,8,FALSE),VLOOKUP($D110,Sheet1!$A$34:$K$48,2,FALSE)))</f>
        <v>2.86</v>
      </c>
      <c r="F110" s="192">
        <f>ROUNDDOWN((IF(H109="AFIII",VLOOKUP($D110,Sheet1!$A$34:$K$48,5,FALSE),IF(H109="UBIII",VLOOKUP($D110,Sheet1!$A$34:$K$48,8,FALSE),VLOOKUP($D110,Sheet1!$A$34:$K$48,2,FALSE))))*0.85,2)</f>
        <v>2.4300000000000002</v>
      </c>
      <c r="G110" s="192">
        <f t="shared" si="119"/>
        <v>2.4300000000000002</v>
      </c>
      <c r="H110" s="193" t="s">
        <v>122</v>
      </c>
      <c r="I110" s="192">
        <f>I109-G110</f>
        <v>5.1400000000000006</v>
      </c>
      <c r="J110" s="193"/>
      <c r="K110" s="192">
        <v>20</v>
      </c>
      <c r="L110" s="192">
        <f t="shared" si="113"/>
        <v>36.950000000000003</v>
      </c>
      <c r="M110" s="193"/>
      <c r="N110" s="192"/>
      <c r="O110" s="192">
        <f t="shared" si="122"/>
        <v>26.03</v>
      </c>
      <c r="P110" s="193"/>
      <c r="Q110" s="192"/>
      <c r="R110" s="192">
        <f t="shared" si="117"/>
        <v>12.670000000000002</v>
      </c>
      <c r="S110" s="193" t="s">
        <v>87</v>
      </c>
      <c r="T110" s="192">
        <f t="shared" si="123"/>
        <v>25.14</v>
      </c>
      <c r="U110" s="194">
        <f t="shared" si="124"/>
        <v>85.139999999999986</v>
      </c>
      <c r="V110" s="211">
        <f>IF(H109="AFIII",VLOOKUP(D110,Sheet1!$A$4:$H$18,5,FALSE),IF(H109="UBIII",VLOOKUP(D110,Sheet1!$A$4:$H$18,8,FALSE),IF(H109="",VLOOKUP(D110,Sheet1!$A$4:$H$18,2,FALSE),"0")))</f>
        <v>884</v>
      </c>
      <c r="W110" s="211">
        <f t="shared" si="99"/>
        <v>7033</v>
      </c>
      <c r="X110" s="212">
        <f t="shared" si="115"/>
        <v>10508</v>
      </c>
      <c r="Y110" s="195" t="str">
        <f t="shared" si="101"/>
        <v>SUCCESS</v>
      </c>
      <c r="Z110" s="195" t="str">
        <f t="shared" si="102"/>
        <v>SUCCESS</v>
      </c>
      <c r="AA110" s="185">
        <f t="shared" si="103"/>
        <v>146.47272188911086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168</v>
      </c>
      <c r="B111" s="113">
        <f t="shared" si="94"/>
        <v>39742</v>
      </c>
      <c r="C111" s="118">
        <f t="shared" si="116"/>
        <v>272.21000000000015</v>
      </c>
      <c r="D111" s="181" t="s">
        <v>3</v>
      </c>
      <c r="E111" s="182">
        <f>IF(H110="AFIII",VLOOKUP($D111,Sheet1!$A$34:$K$48,5,FALSE),IF(H110="UBIII",VLOOKUP($D111,Sheet1!$A$34:$K$48,8,FALSE),VLOOKUP($D111,Sheet1!$A$34:$K$48,2,FALSE)))</f>
        <v>1.67</v>
      </c>
      <c r="F111" s="182">
        <f>ROUNDDOWN((IF(H110="AFIII",VLOOKUP($D111,Sheet1!$A$34:$K$48,5,FALSE),IF(H110="UBIII",VLOOKUP($D111,Sheet1!$A$34:$K$48,8,FALSE),VLOOKUP($D111,Sheet1!$A$34:$K$48,2,FALSE))))*0.85,2)</f>
        <v>1.41</v>
      </c>
      <c r="G111" s="182">
        <f t="shared" si="119"/>
        <v>2.0299999999999998</v>
      </c>
      <c r="H111" s="183" t="s">
        <v>84</v>
      </c>
      <c r="I111" s="182">
        <v>10</v>
      </c>
      <c r="K111" s="182">
        <f>K110-G111</f>
        <v>17.97</v>
      </c>
      <c r="L111" s="182">
        <f t="shared" si="113"/>
        <v>34.92</v>
      </c>
      <c r="O111" s="182">
        <f>O110-G111</f>
        <v>24</v>
      </c>
      <c r="R111" s="182">
        <f t="shared" si="117"/>
        <v>10.640000000000002</v>
      </c>
      <c r="S111" s="183" t="s">
        <v>87</v>
      </c>
      <c r="T111" s="182">
        <f t="shared" si="123"/>
        <v>23.11</v>
      </c>
      <c r="U111" s="184">
        <f t="shared" si="124"/>
        <v>83.109999999999985</v>
      </c>
      <c r="V111" s="201">
        <f>IF(H110="AFIII",VLOOKUP(D111,Sheet1!$A$4:$H$18,5,FALSE),IF(H110="UBIII",VLOOKUP(D111,Sheet1!$A$4:$H$18,8,FALSE),IF(H110="",VLOOKUP(D111,Sheet1!$A$4:$H$18,2,FALSE),"0")))</f>
        <v>442</v>
      </c>
      <c r="W111" s="201">
        <f t="shared" si="99"/>
        <v>7033</v>
      </c>
      <c r="X111" s="208">
        <f t="shared" si="115"/>
        <v>10950</v>
      </c>
      <c r="Y111" s="171" t="str">
        <f t="shared" si="101"/>
        <v>SUCCESS</v>
      </c>
      <c r="Z111" s="171" t="str">
        <f t="shared" si="102"/>
        <v>SUCCESS</v>
      </c>
      <c r="AA111" s="185">
        <f t="shared" si="103"/>
        <v>145.99757540134448</v>
      </c>
    </row>
    <row r="112" spans="1:27">
      <c r="A112" s="112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504</v>
      </c>
      <c r="B112" s="113">
        <f t="shared" si="94"/>
        <v>40246</v>
      </c>
      <c r="C112" s="118">
        <f t="shared" si="116"/>
        <v>274.64000000000016</v>
      </c>
      <c r="D112" s="181" t="s">
        <v>5</v>
      </c>
      <c r="E112" s="182">
        <f>IF(H111="AFIII",VLOOKUP($D112,Sheet1!$A$34:$K$48,5,FALSE),IF(H111="UBIII",VLOOKUP($D112,Sheet1!$A$34:$K$48,8,FALSE),VLOOKUP($D112,Sheet1!$A$34:$K$48,2,FALSE)))</f>
        <v>2.86</v>
      </c>
      <c r="F112" s="182">
        <f>ROUNDDOWN((IF(H111="AFIII",VLOOKUP($D112,Sheet1!$A$34:$K$48,5,FALSE),IF(H111="UBIII",VLOOKUP($D112,Sheet1!$A$34:$K$48,8,FALSE),VLOOKUP($D112,Sheet1!$A$34:$K$48,2,FALSE))))*0.85,2)</f>
        <v>2.4300000000000002</v>
      </c>
      <c r="G112" s="182">
        <f t="shared" si="119"/>
        <v>2.4300000000000002</v>
      </c>
      <c r="H112" s="183" t="s">
        <v>84</v>
      </c>
      <c r="I112" s="182">
        <f>I111-G112</f>
        <v>7.57</v>
      </c>
      <c r="K112" s="182">
        <f t="shared" ref="K112:K117" si="125">K111-G112</f>
        <v>15.54</v>
      </c>
      <c r="L112" s="182">
        <f t="shared" si="113"/>
        <v>32.49</v>
      </c>
      <c r="O112" s="182">
        <f t="shared" ref="O112:O116" si="126">O111-G112</f>
        <v>21.57</v>
      </c>
      <c r="R112" s="182">
        <f t="shared" si="117"/>
        <v>8.2100000000000026</v>
      </c>
      <c r="S112" s="183" t="s">
        <v>87</v>
      </c>
      <c r="T112" s="182">
        <f t="shared" si="123"/>
        <v>20.68</v>
      </c>
      <c r="U112" s="184">
        <f t="shared" si="124"/>
        <v>80.679999999999978</v>
      </c>
      <c r="V112" s="201">
        <f>IF(H111="AFIII",VLOOKUP(D112,Sheet1!$A$4:$H$18,5,FALSE),IF(H111="UBIII",VLOOKUP(D112,Sheet1!$A$4:$H$18,8,FALSE),IF(H111="",VLOOKUP(D112,Sheet1!$A$4:$H$18,2,FALSE),"0")))</f>
        <v>1768</v>
      </c>
      <c r="W112" s="201">
        <f t="shared" si="99"/>
        <v>0</v>
      </c>
      <c r="X112" s="208">
        <f t="shared" si="115"/>
        <v>9182</v>
      </c>
      <c r="Y112" s="171" t="str">
        <f t="shared" si="101"/>
        <v>SUCCESS</v>
      </c>
      <c r="Z112" s="171" t="str">
        <f t="shared" si="102"/>
        <v>SUCCESS</v>
      </c>
      <c r="AA112" s="185">
        <f t="shared" si="103"/>
        <v>146.54092630352454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504</v>
      </c>
      <c r="B113" s="113">
        <f t="shared" si="94"/>
        <v>40750</v>
      </c>
      <c r="C113" s="118">
        <f t="shared" si="116"/>
        <v>277.07000000000016</v>
      </c>
      <c r="D113" s="181" t="s">
        <v>5</v>
      </c>
      <c r="E113" s="182">
        <f>IF(H112="AFIII",VLOOKUP($D113,Sheet1!$A$34:$K$48,5,FALSE),IF(H112="UBIII",VLOOKUP($D113,Sheet1!$A$34:$K$48,8,FALSE),VLOOKUP($D113,Sheet1!$A$34:$K$48,2,FALSE)))</f>
        <v>2.86</v>
      </c>
      <c r="F113" s="182">
        <f>ROUNDDOWN((IF(H112="AFIII",VLOOKUP($D113,Sheet1!$A$34:$K$48,5,FALSE),IF(H112="UBIII",VLOOKUP($D113,Sheet1!$A$34:$K$48,8,FALSE),VLOOKUP($D113,Sheet1!$A$34:$K$48,2,FALSE))))*0.85,2)</f>
        <v>2.4300000000000002</v>
      </c>
      <c r="G113" s="182">
        <f t="shared" si="119"/>
        <v>2.4300000000000002</v>
      </c>
      <c r="H113" s="183" t="s">
        <v>84</v>
      </c>
      <c r="I113" s="182">
        <f t="shared" ref="I113" si="127">I112-G113</f>
        <v>5.1400000000000006</v>
      </c>
      <c r="K113" s="182">
        <f t="shared" si="125"/>
        <v>13.11</v>
      </c>
      <c r="L113" s="182">
        <f t="shared" si="113"/>
        <v>30.060000000000002</v>
      </c>
      <c r="O113" s="182">
        <f t="shared" si="126"/>
        <v>19.14</v>
      </c>
      <c r="R113" s="182">
        <f t="shared" si="117"/>
        <v>5.7800000000000029</v>
      </c>
      <c r="S113" s="183" t="s">
        <v>87</v>
      </c>
      <c r="T113" s="182">
        <f t="shared" si="123"/>
        <v>18.25</v>
      </c>
      <c r="U113" s="184">
        <f t="shared" si="124"/>
        <v>78.249999999999972</v>
      </c>
      <c r="V113" s="201">
        <f>IF(H112="AFIII",VLOOKUP(D113,Sheet1!$A$4:$H$18,5,FALSE),IF(H112="UBIII",VLOOKUP(D113,Sheet1!$A$4:$H$18,8,FALSE),IF(H112="",VLOOKUP(D113,Sheet1!$A$4:$H$18,2,FALSE),"0")))</f>
        <v>1768</v>
      </c>
      <c r="W113" s="201">
        <f t="shared" si="99"/>
        <v>0</v>
      </c>
      <c r="X113" s="208">
        <f t="shared" si="115"/>
        <v>7414</v>
      </c>
      <c r="Y113" s="171" t="str">
        <f t="shared" si="101"/>
        <v>SUCCESS</v>
      </c>
      <c r="Z113" s="171" t="str">
        <f t="shared" si="102"/>
        <v>SUCCESS</v>
      </c>
      <c r="AA113" s="185">
        <f t="shared" si="103"/>
        <v>147.07474645396462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324</v>
      </c>
      <c r="B114" s="113">
        <f t="shared" si="94"/>
        <v>41074</v>
      </c>
      <c r="C114" s="118">
        <f t="shared" si="116"/>
        <v>279.10000000000014</v>
      </c>
      <c r="D114" s="181" t="s">
        <v>1</v>
      </c>
      <c r="E114" s="182">
        <f>IF(H113="AFIII",VLOOKUP($D114,Sheet1!$A$34:$K$48,5,FALSE),IF(H113="UBIII",VLOOKUP($D114,Sheet1!$A$34:$K$48,8,FALSE),VLOOKUP($D114,Sheet1!$A$34:$K$48,2,FALSE)))</f>
        <v>2.39</v>
      </c>
      <c r="F114" s="182">
        <f>ROUNDDOWN((IF(H113="AFIII",VLOOKUP($D114,Sheet1!$A$34:$K$48,5,FALSE),IF(H113="UBIII",VLOOKUP($D114,Sheet1!$A$34:$K$48,8,FALSE),VLOOKUP($D114,Sheet1!$A$34:$K$48,2,FALSE))))*0.85,2)</f>
        <v>2.0299999999999998</v>
      </c>
      <c r="G114" s="182">
        <f t="shared" si="119"/>
        <v>2.0299999999999998</v>
      </c>
      <c r="H114" s="183" t="s">
        <v>84</v>
      </c>
      <c r="I114" s="182">
        <v>10</v>
      </c>
      <c r="K114" s="182">
        <f t="shared" si="125"/>
        <v>11.08</v>
      </c>
      <c r="L114" s="182">
        <f t="shared" si="113"/>
        <v>28.03</v>
      </c>
      <c r="O114" s="182">
        <f t="shared" si="126"/>
        <v>17.11</v>
      </c>
      <c r="R114" s="182">
        <f>R113-G114</f>
        <v>3.7500000000000031</v>
      </c>
      <c r="S114" s="183" t="s">
        <v>87</v>
      </c>
      <c r="T114" s="182">
        <f t="shared" si="123"/>
        <v>16.22</v>
      </c>
      <c r="U114" s="184">
        <f t="shared" si="124"/>
        <v>76.21999999999997</v>
      </c>
      <c r="V114" s="201">
        <f>IF(H113="AFIII",VLOOKUP(D114,Sheet1!$A$4:$H$18,5,FALSE),IF(H113="UBIII",VLOOKUP(D114,Sheet1!$A$4:$H$18,8,FALSE),IF(H113="",VLOOKUP(D114,Sheet1!$A$4:$H$18,2,FALSE),"0")))</f>
        <v>2120</v>
      </c>
      <c r="W114" s="201">
        <f t="shared" si="99"/>
        <v>0</v>
      </c>
      <c r="X114" s="208">
        <f t="shared" si="115"/>
        <v>5294</v>
      </c>
      <c r="Y114" s="171" t="str">
        <f t="shared" si="101"/>
        <v>SUCCESS</v>
      </c>
      <c r="Z114" s="171" t="str">
        <f t="shared" si="102"/>
        <v>SUCCESS</v>
      </c>
      <c r="AA114" s="185">
        <f t="shared" si="103"/>
        <v>147.16589036187739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504</v>
      </c>
      <c r="B115" s="113">
        <f t="shared" si="94"/>
        <v>41578</v>
      </c>
      <c r="C115" s="118">
        <f t="shared" si="116"/>
        <v>281.53000000000014</v>
      </c>
      <c r="D115" s="181" t="s">
        <v>6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119"/>
        <v>2.4300000000000002</v>
      </c>
      <c r="H115" s="183" t="s">
        <v>84</v>
      </c>
      <c r="I115" s="182">
        <f>I114-G115</f>
        <v>7.57</v>
      </c>
      <c r="K115" s="182">
        <f t="shared" si="125"/>
        <v>8.65</v>
      </c>
      <c r="L115" s="182">
        <f t="shared" si="113"/>
        <v>25.6</v>
      </c>
      <c r="O115" s="182">
        <f t="shared" si="126"/>
        <v>14.68</v>
      </c>
      <c r="R115" s="182">
        <f t="shared" ref="R115:R119" si="128">R114-G115</f>
        <v>1.3200000000000029</v>
      </c>
      <c r="S115" s="183" t="s">
        <v>87</v>
      </c>
      <c r="T115" s="182">
        <f t="shared" si="123"/>
        <v>13.79</v>
      </c>
      <c r="U115" s="184">
        <f t="shared" si="124"/>
        <v>73.789999999999964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99"/>
        <v>0</v>
      </c>
      <c r="X115" s="208">
        <f t="shared" si="115"/>
        <v>3526</v>
      </c>
      <c r="Y115" s="171" t="str">
        <f t="shared" si="101"/>
        <v>SUCCESS</v>
      </c>
      <c r="Z115" s="171" t="str">
        <f t="shared" si="102"/>
        <v>SUCCESS</v>
      </c>
      <c r="AA115" s="185">
        <f t="shared" si="103"/>
        <v>147.68585941107511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504</v>
      </c>
      <c r="B116" s="113">
        <f t="shared" si="94"/>
        <v>42082</v>
      </c>
      <c r="C116" s="118">
        <f t="shared" si="116"/>
        <v>283.96000000000015</v>
      </c>
      <c r="D116" s="181" t="s">
        <v>6</v>
      </c>
      <c r="E116" s="182">
        <f>IF(H115="AFIII",VLOOKUP($D116,Sheet1!$A$34:$K$48,5,FALSE),IF(H115="UBIII",VLOOKUP($D116,Sheet1!$A$34:$K$48,8,FALSE),VLOOKUP($D116,Sheet1!$A$34:$K$48,2,FALSE)))</f>
        <v>2.86</v>
      </c>
      <c r="F116" s="182">
        <f>ROUNDDOWN((IF(H115="AFIII",VLOOKUP($D116,Sheet1!$A$34:$K$48,5,FALSE),IF(H115="UBIII",VLOOKUP($D116,Sheet1!$A$34:$K$48,8,FALSE),VLOOKUP($D116,Sheet1!$A$34:$K$48,2,FALSE))))*0.85,2)</f>
        <v>2.4300000000000002</v>
      </c>
      <c r="G116" s="182">
        <f t="shared" si="119"/>
        <v>2.4300000000000002</v>
      </c>
      <c r="H116" s="183" t="s">
        <v>84</v>
      </c>
      <c r="I116" s="182">
        <f>I115-G116</f>
        <v>5.1400000000000006</v>
      </c>
      <c r="K116" s="182">
        <f t="shared" si="125"/>
        <v>6.2200000000000006</v>
      </c>
      <c r="L116" s="182">
        <f t="shared" si="113"/>
        <v>23.17</v>
      </c>
      <c r="O116" s="182">
        <f t="shared" si="126"/>
        <v>12.25</v>
      </c>
      <c r="R116" s="182">
        <f t="shared" si="128"/>
        <v>-1.1099999999999972</v>
      </c>
      <c r="S116" s="183" t="s">
        <v>87</v>
      </c>
      <c r="T116" s="182">
        <f t="shared" si="123"/>
        <v>11.36</v>
      </c>
      <c r="U116" s="184">
        <f t="shared" si="124"/>
        <v>71.359999999999957</v>
      </c>
      <c r="V116" s="201">
        <f>IF(H115="AFIII",VLOOKUP(D116,Sheet1!$A$4:$H$18,5,FALSE),IF(H115="UBIII",VLOOKUP(D116,Sheet1!$A$4:$H$18,8,FALSE),IF(H115="",VLOOKUP(D116,Sheet1!$A$4:$H$18,2,FALSE),"0")))</f>
        <v>1768</v>
      </c>
      <c r="W116" s="201">
        <f t="shared" si="99"/>
        <v>0</v>
      </c>
      <c r="X116" s="208">
        <f t="shared" si="115"/>
        <v>1758</v>
      </c>
      <c r="Y116" s="171" t="str">
        <f t="shared" si="101"/>
        <v>SUCCESS</v>
      </c>
      <c r="Z116" s="171" t="str">
        <f t="shared" si="102"/>
        <v>SUCCESS</v>
      </c>
      <c r="AA116" s="185">
        <f t="shared" si="103"/>
        <v>148.19692914494991</v>
      </c>
    </row>
    <row r="117" spans="1:27">
      <c r="A117" s="11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168</v>
      </c>
      <c r="B117" s="113">
        <f t="shared" si="94"/>
        <v>42250</v>
      </c>
      <c r="C117" s="118">
        <f t="shared" si="116"/>
        <v>285.99000000000012</v>
      </c>
      <c r="D117" s="181" t="s">
        <v>12</v>
      </c>
      <c r="E117" s="182">
        <f>IF(H116="AFIII",VLOOKUP($D117,Sheet1!$A$34:$K$48,5,FALSE),IF(H116="UBIII",VLOOKUP($D117,Sheet1!$A$34:$K$48,8,FALSE),VLOOKUP($D117,Sheet1!$A$34:$K$48,2,FALSE)))</f>
        <v>1.67</v>
      </c>
      <c r="F117" s="182">
        <f>ROUNDDOWN((IF(H116="AFIII",VLOOKUP($D117,Sheet1!$A$34:$K$48,5,FALSE),IF(H116="UBIII",VLOOKUP($D117,Sheet1!$A$34:$K$48,8,FALSE),VLOOKUP($D117,Sheet1!$A$34:$K$48,2,FALSE))))*0.85,2)</f>
        <v>1.41</v>
      </c>
      <c r="G117" s="182">
        <f t="shared" si="119"/>
        <v>2.0299999999999998</v>
      </c>
      <c r="H117" s="183" t="s">
        <v>122</v>
      </c>
      <c r="I117" s="182">
        <v>10</v>
      </c>
      <c r="K117" s="182">
        <f t="shared" si="125"/>
        <v>4.1900000000000013</v>
      </c>
      <c r="L117" s="182">
        <f t="shared" si="113"/>
        <v>21.14</v>
      </c>
      <c r="O117" s="182">
        <f>O116-G117</f>
        <v>10.220000000000001</v>
      </c>
      <c r="R117" s="182">
        <f t="shared" si="128"/>
        <v>-3.139999999999997</v>
      </c>
      <c r="S117" s="183" t="s">
        <v>87</v>
      </c>
      <c r="T117" s="182">
        <f t="shared" si="123"/>
        <v>9.33</v>
      </c>
      <c r="U117" s="184">
        <f t="shared" si="124"/>
        <v>69.329999999999956</v>
      </c>
      <c r="V117" s="201">
        <f>IF(H116="AFIII",VLOOKUP(D117,Sheet1!$A$4:$H$18,5,FALSE),IF(H116="UBIII",VLOOKUP(D117,Sheet1!$A$4:$H$18,8,FALSE),IF(H116="",VLOOKUP(D117,Sheet1!$A$4:$H$18,2,FALSE),"0")))</f>
        <v>265</v>
      </c>
      <c r="W117" s="201">
        <f t="shared" si="99"/>
        <v>0</v>
      </c>
      <c r="X117" s="208">
        <f t="shared" si="115"/>
        <v>1493</v>
      </c>
      <c r="Y117" s="171" t="str">
        <f t="shared" si="101"/>
        <v>SUCCESS</v>
      </c>
      <c r="Z117" s="171" t="str">
        <f t="shared" si="102"/>
        <v>SUCCESS</v>
      </c>
      <c r="AA117" s="185">
        <f t="shared" si="103"/>
        <v>147.73243819713969</v>
      </c>
    </row>
    <row r="118" spans="1:27">
      <c r="A118" s="119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280</v>
      </c>
      <c r="B118" s="120">
        <f t="shared" si="94"/>
        <v>42530</v>
      </c>
      <c r="C118" s="121">
        <f t="shared" si="116"/>
        <v>288.42000000000013</v>
      </c>
      <c r="D118" s="191" t="s">
        <v>14</v>
      </c>
      <c r="E118" s="192">
        <f>IF(H117="AFIII",VLOOKUP($D118,Sheet1!$A$34:$K$48,5,FALSE),IF(H117="UBIII",VLOOKUP($D118,Sheet1!$A$34:$K$48,8,FALSE),VLOOKUP($D118,Sheet1!$A$34:$K$48,2,FALSE)))</f>
        <v>2.86</v>
      </c>
      <c r="F118" s="192">
        <f>ROUNDDOWN((IF(H117="AFIII",VLOOKUP($D118,Sheet1!$A$34:$K$48,5,FALSE),IF(H117="UBIII",VLOOKUP($D118,Sheet1!$A$34:$K$48,8,FALSE),VLOOKUP($D118,Sheet1!$A$34:$K$48,2,FALSE))))*0.85,2)</f>
        <v>2.4300000000000002</v>
      </c>
      <c r="G118" s="192">
        <f t="shared" si="119"/>
        <v>2.4300000000000002</v>
      </c>
      <c r="H118" s="193" t="s">
        <v>122</v>
      </c>
      <c r="I118" s="192">
        <f>I117-G118</f>
        <v>7.57</v>
      </c>
      <c r="J118" s="193"/>
      <c r="K118" s="192">
        <v>15</v>
      </c>
      <c r="L118" s="192">
        <f t="shared" si="113"/>
        <v>18.71</v>
      </c>
      <c r="M118" s="193"/>
      <c r="N118" s="192"/>
      <c r="O118" s="192">
        <f t="shared" ref="O118:O122" si="129">O117-G118</f>
        <v>7.7900000000000009</v>
      </c>
      <c r="P118" s="193"/>
      <c r="Q118" s="192"/>
      <c r="R118" s="192">
        <f t="shared" si="128"/>
        <v>-5.5699999999999967</v>
      </c>
      <c r="S118" s="193" t="s">
        <v>87</v>
      </c>
      <c r="T118" s="192">
        <f t="shared" si="123"/>
        <v>6.9</v>
      </c>
      <c r="U118" s="194">
        <f t="shared" si="124"/>
        <v>66.899999999999949</v>
      </c>
      <c r="V118" s="211">
        <f>IF(H117="AFIII",VLOOKUP(D118,Sheet1!$A$4:$H$18,5,FALSE),IF(H117="UBIII",VLOOKUP(D118,Sheet1!$A$4:$H$18,8,FALSE),IF(H117="",VLOOKUP(D118,Sheet1!$A$4:$H$18,2,FALSE),"0")))</f>
        <v>884</v>
      </c>
      <c r="W118" s="211">
        <f t="shared" si="99"/>
        <v>7033</v>
      </c>
      <c r="X118" s="212">
        <f t="shared" si="115"/>
        <v>7642</v>
      </c>
      <c r="Y118" s="195" t="str">
        <f t="shared" si="101"/>
        <v>SUCCESS</v>
      </c>
      <c r="Z118" s="195" t="str">
        <f t="shared" si="102"/>
        <v>SUCCESS</v>
      </c>
      <c r="AA118" s="185">
        <f t="shared" si="103"/>
        <v>147.45856736703411</v>
      </c>
    </row>
    <row r="119" spans="1:27">
      <c r="A119" s="11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168</v>
      </c>
      <c r="B119" s="113">
        <f t="shared" si="94"/>
        <v>42698</v>
      </c>
      <c r="C119" s="118">
        <f t="shared" si="116"/>
        <v>290.4500000000001</v>
      </c>
      <c r="D119" s="181" t="s">
        <v>4</v>
      </c>
      <c r="E119" s="182">
        <f>IF(H118="AFIII",VLOOKUP($D119,Sheet1!$A$34:$K$48,5,FALSE),IF(H118="UBIII",VLOOKUP($D119,Sheet1!$A$34:$K$48,8,FALSE),VLOOKUP($D119,Sheet1!$A$34:$K$48,2,FALSE)))</f>
        <v>1.67</v>
      </c>
      <c r="F119" s="182">
        <f>ROUNDDOWN((IF(H118="AFIII",VLOOKUP($D119,Sheet1!$A$34:$K$48,5,FALSE),IF(H118="UBIII",VLOOKUP($D119,Sheet1!$A$34:$K$48,8,FALSE),VLOOKUP($D119,Sheet1!$A$34:$K$48,2,FALSE))))*0.85,2)</f>
        <v>1.41</v>
      </c>
      <c r="G119" s="182">
        <f t="shared" si="119"/>
        <v>2.0299999999999998</v>
      </c>
      <c r="H119" s="183" t="s">
        <v>84</v>
      </c>
      <c r="I119" s="182">
        <v>10</v>
      </c>
      <c r="K119" s="182">
        <f t="shared" ref="K119:K126" si="130">K118-G119</f>
        <v>12.97</v>
      </c>
      <c r="L119" s="182">
        <f t="shared" si="113"/>
        <v>16.68</v>
      </c>
      <c r="O119" s="182">
        <f t="shared" si="129"/>
        <v>5.7600000000000016</v>
      </c>
      <c r="R119" s="182">
        <f t="shared" si="128"/>
        <v>-7.5999999999999961</v>
      </c>
      <c r="S119" s="183" t="s">
        <v>87</v>
      </c>
      <c r="T119" s="182">
        <f t="shared" si="123"/>
        <v>4.870000000000001</v>
      </c>
      <c r="U119" s="184">
        <f t="shared" si="124"/>
        <v>64.869999999999948</v>
      </c>
      <c r="V119" s="201">
        <f>IF(H118="AFIII",VLOOKUP(D119,Sheet1!$A$4:$H$18,5,FALSE),IF(H118="UBIII",VLOOKUP(D119,Sheet1!$A$4:$H$18,8,FALSE),IF(H118="",VLOOKUP(D119,Sheet1!$A$4:$H$18,2,FALSE),"0")))</f>
        <v>442</v>
      </c>
      <c r="W119" s="201">
        <f t="shared" si="99"/>
        <v>7033</v>
      </c>
      <c r="X119" s="208">
        <f t="shared" si="115"/>
        <v>10950</v>
      </c>
      <c r="Y119" s="171" t="str">
        <f t="shared" si="101"/>
        <v>SUCCESS</v>
      </c>
      <c r="Z119" s="171" t="str">
        <f t="shared" si="102"/>
        <v>SUCCESS</v>
      </c>
      <c r="AA119" s="185">
        <f t="shared" si="103"/>
        <v>147.00636942675155</v>
      </c>
    </row>
    <row r="120" spans="1:27">
      <c r="A120" s="112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504</v>
      </c>
      <c r="B120" s="113">
        <f t="shared" si="94"/>
        <v>43202</v>
      </c>
      <c r="C120" s="118">
        <f t="shared" si="116"/>
        <v>292.88000000000011</v>
      </c>
      <c r="D120" s="181" t="s">
        <v>6</v>
      </c>
      <c r="E120" s="182">
        <f>IF(H119="AFIII",VLOOKUP($D120,Sheet1!$A$34:$K$48,5,FALSE),IF(H119="UBIII",VLOOKUP($D120,Sheet1!$A$34:$K$48,8,FALSE),VLOOKUP($D120,Sheet1!$A$34:$K$48,2,FALSE)))</f>
        <v>2.86</v>
      </c>
      <c r="F120" s="182">
        <f>ROUNDDOWN((IF(H119="AFIII",VLOOKUP($D120,Sheet1!$A$34:$K$48,5,FALSE),IF(H119="UBIII",VLOOKUP($D120,Sheet1!$A$34:$K$48,8,FALSE),VLOOKUP($D120,Sheet1!$A$34:$K$48,2,FALSE))))*0.85,2)</f>
        <v>2.4300000000000002</v>
      </c>
      <c r="G120" s="182">
        <f t="shared" si="119"/>
        <v>2.4300000000000002</v>
      </c>
      <c r="H120" s="183" t="s">
        <v>84</v>
      </c>
      <c r="I120" s="182">
        <f>I119-G120</f>
        <v>7.57</v>
      </c>
      <c r="K120" s="182">
        <f t="shared" si="130"/>
        <v>10.540000000000001</v>
      </c>
      <c r="L120" s="182">
        <f t="shared" si="113"/>
        <v>14.25</v>
      </c>
      <c r="O120" s="182">
        <f t="shared" si="129"/>
        <v>3.3300000000000014</v>
      </c>
      <c r="P120" s="183" t="s">
        <v>136</v>
      </c>
      <c r="R120" s="182">
        <f>R119-G120</f>
        <v>-10.029999999999996</v>
      </c>
      <c r="S120" s="183" t="s">
        <v>52</v>
      </c>
      <c r="T120" s="182">
        <f t="shared" si="123"/>
        <v>2.4400000000000008</v>
      </c>
      <c r="U120" s="184">
        <f t="shared" si="124"/>
        <v>62.439999999999948</v>
      </c>
      <c r="V120" s="201">
        <f>IF(H119="AFIII",VLOOKUP(D120,Sheet1!$A$4:$H$18,5,FALSE),IF(H119="UBIII",VLOOKUP(D120,Sheet1!$A$4:$H$18,8,FALSE),IF(H119="",VLOOKUP(D120,Sheet1!$A$4:$H$18,2,FALSE),"0")))</f>
        <v>1768</v>
      </c>
      <c r="W120" s="201">
        <f t="shared" si="99"/>
        <v>0</v>
      </c>
      <c r="X120" s="208">
        <f t="shared" si="115"/>
        <v>9182</v>
      </c>
      <c r="Y120" s="171" t="str">
        <f t="shared" si="101"/>
        <v>SUCCESS</v>
      </c>
      <c r="Z120" s="171" t="str">
        <f t="shared" si="102"/>
        <v>SUCCESS</v>
      </c>
      <c r="AA120" s="185">
        <f t="shared" si="103"/>
        <v>147.50751160885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504</v>
      </c>
      <c r="B121" s="113">
        <f t="shared" si="94"/>
        <v>43706</v>
      </c>
      <c r="C121" s="118">
        <f t="shared" si="116"/>
        <v>295.31000000000012</v>
      </c>
      <c r="D121" s="181" t="s">
        <v>6</v>
      </c>
      <c r="E121" s="182">
        <f>IF(H120="AFIII",VLOOKUP($D121,Sheet1!$A$34:$K$48,5,FALSE),IF(H120="UBIII",VLOOKUP($D121,Sheet1!$A$34:$K$48,8,FALSE),VLOOKUP($D121,Sheet1!$A$34:$K$48,2,FALSE)))</f>
        <v>2.86</v>
      </c>
      <c r="F121" s="182">
        <f>ROUNDDOWN((IF(H120="AFIII",VLOOKUP($D121,Sheet1!$A$34:$K$48,5,FALSE),IF(H120="UBIII",VLOOKUP($D121,Sheet1!$A$34:$K$48,8,FALSE),VLOOKUP($D121,Sheet1!$A$34:$K$48,2,FALSE))))*0.85,2)</f>
        <v>2.4300000000000002</v>
      </c>
      <c r="G121" s="182">
        <f t="shared" si="119"/>
        <v>2.4300000000000002</v>
      </c>
      <c r="H121" s="183" t="s">
        <v>84</v>
      </c>
      <c r="I121" s="182">
        <f>I120-G121</f>
        <v>5.1400000000000006</v>
      </c>
      <c r="K121" s="182">
        <f t="shared" si="130"/>
        <v>8.1100000000000012</v>
      </c>
      <c r="L121" s="182">
        <f t="shared" si="113"/>
        <v>11.82</v>
      </c>
      <c r="O121" s="182">
        <f t="shared" si="129"/>
        <v>0.90000000000000124</v>
      </c>
      <c r="R121" s="182">
        <f>R120-G121</f>
        <v>-12.459999999999996</v>
      </c>
      <c r="S121" s="183" t="s">
        <v>52</v>
      </c>
      <c r="T121" s="182">
        <f t="shared" si="123"/>
        <v>1.0000000000000675E-2</v>
      </c>
      <c r="U121" s="184">
        <f t="shared" si="124"/>
        <v>60.009999999999948</v>
      </c>
      <c r="V121" s="201">
        <f>IF(H120="AFIII",VLOOKUP(D121,Sheet1!$A$4:$H$18,5,FALSE),IF(H120="UBIII",VLOOKUP(D121,Sheet1!$A$4:$H$18,8,FALSE),IF(H120="",VLOOKUP(D121,Sheet1!$A$4:$H$18,2,FALSE),"0")))</f>
        <v>1768</v>
      </c>
      <c r="W121" s="201">
        <f t="shared" si="99"/>
        <v>0</v>
      </c>
      <c r="X121" s="208">
        <f t="shared" si="115"/>
        <v>7414</v>
      </c>
      <c r="Y121" s="171" t="str">
        <f t="shared" si="101"/>
        <v>SUCCESS</v>
      </c>
      <c r="Z121" s="171" t="str">
        <f t="shared" si="102"/>
        <v>SUCCESS</v>
      </c>
      <c r="AA121" s="185">
        <f t="shared" si="103"/>
        <v>148.00040635264631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324</v>
      </c>
      <c r="B122" s="113">
        <f t="shared" si="94"/>
        <v>44030</v>
      </c>
      <c r="C122" s="118">
        <f t="shared" si="116"/>
        <v>297.34000000000009</v>
      </c>
      <c r="D122" s="181" t="s">
        <v>1</v>
      </c>
      <c r="E122" s="182">
        <f>IF(H121="AFIII",VLOOKUP($D122,Sheet1!$A$34:$K$48,5,FALSE),IF(H121="UBIII",VLOOKUP($D122,Sheet1!$A$34:$K$48,8,FALSE),VLOOKUP($D122,Sheet1!$A$34:$K$48,2,FALSE)))</f>
        <v>2.39</v>
      </c>
      <c r="F122" s="182">
        <f>ROUNDDOWN((IF(H121="AFIII",VLOOKUP($D122,Sheet1!$A$34:$K$48,5,FALSE),IF(H121="UBIII",VLOOKUP($D122,Sheet1!$A$34:$K$48,8,FALSE),VLOOKUP($D122,Sheet1!$A$34:$K$48,2,FALSE))))*0.85,2)</f>
        <v>2.0299999999999998</v>
      </c>
      <c r="G122" s="182">
        <f t="shared" si="119"/>
        <v>2.0299999999999998</v>
      </c>
      <c r="H122" s="183" t="s">
        <v>84</v>
      </c>
      <c r="I122" s="182">
        <v>10</v>
      </c>
      <c r="K122" s="182">
        <f t="shared" si="130"/>
        <v>6.0800000000000018</v>
      </c>
      <c r="L122" s="182">
        <f t="shared" si="113"/>
        <v>9.7900000000000009</v>
      </c>
      <c r="M122" s="183" t="s">
        <v>135</v>
      </c>
      <c r="O122" s="182">
        <f t="shared" si="129"/>
        <v>-1.1299999999999986</v>
      </c>
      <c r="T122" s="182">
        <f t="shared" si="123"/>
        <v>-2.0199999999999991</v>
      </c>
      <c r="U122" s="184">
        <f t="shared" si="124"/>
        <v>57.979999999999947</v>
      </c>
      <c r="V122" s="201">
        <f>IF(H121="AFIII",VLOOKUP(D122,Sheet1!$A$4:$H$18,5,FALSE),IF(H121="UBIII",VLOOKUP(D122,Sheet1!$A$4:$H$18,8,FALSE),IF(H121="",VLOOKUP(D122,Sheet1!$A$4:$H$18,2,FALSE),"0")))</f>
        <v>2120</v>
      </c>
      <c r="W122" s="201">
        <f t="shared" si="99"/>
        <v>0</v>
      </c>
      <c r="X122" s="208">
        <f t="shared" si="115"/>
        <v>5294</v>
      </c>
      <c r="Y122" s="171" t="str">
        <f t="shared" si="101"/>
        <v>SUCCESS</v>
      </c>
      <c r="Z122" s="171" t="str">
        <f t="shared" si="102"/>
        <v>SUCCESS</v>
      </c>
      <c r="AA122" s="185">
        <f t="shared" si="103"/>
        <v>148.07963946996699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504</v>
      </c>
      <c r="B123" s="113">
        <f t="shared" si="94"/>
        <v>44534</v>
      </c>
      <c r="C123" s="118">
        <f t="shared" si="116"/>
        <v>300.2000000000001</v>
      </c>
      <c r="D123" s="181" t="s">
        <v>6</v>
      </c>
      <c r="E123" s="182">
        <f>IF(H122="AFIII",VLOOKUP($D123,Sheet1!$A$34:$K$48,5,FALSE),IF(H122="UBIII",VLOOKUP($D123,Sheet1!$A$34:$K$48,8,FALSE),VLOOKUP($D123,Sheet1!$A$34:$K$48,2,FALSE)))</f>
        <v>2.86</v>
      </c>
      <c r="F123" s="182">
        <f>ROUNDDOWN((IF(H122="AFIII",VLOOKUP($D123,Sheet1!$A$34:$K$48,5,FALSE),IF(H122="UBIII",VLOOKUP($D123,Sheet1!$A$34:$K$48,8,FALSE),VLOOKUP($D123,Sheet1!$A$34:$K$48,2,FALSE))))*0.85,2)</f>
        <v>2.4300000000000002</v>
      </c>
      <c r="G123" s="182">
        <f t="shared" si="119"/>
        <v>2.86</v>
      </c>
      <c r="H123" s="183" t="s">
        <v>84</v>
      </c>
      <c r="I123" s="182">
        <f>I122-G123</f>
        <v>7.1400000000000006</v>
      </c>
      <c r="K123" s="182">
        <f t="shared" si="130"/>
        <v>3.220000000000002</v>
      </c>
      <c r="L123" s="182">
        <f t="shared" si="113"/>
        <v>6.9300000000000015</v>
      </c>
      <c r="M123" s="183" t="s">
        <v>102</v>
      </c>
      <c r="O123" s="182">
        <v>60</v>
      </c>
      <c r="U123" s="184">
        <f t="shared" si="124"/>
        <v>55.119999999999948</v>
      </c>
      <c r="V123" s="201">
        <f>IF(H122="AFIII",VLOOKUP(D123,Sheet1!$A$4:$H$18,5,FALSE),IF(H122="UBIII",VLOOKUP(D123,Sheet1!$A$4:$H$18,8,FALSE),IF(H122="",VLOOKUP(D123,Sheet1!$A$4:$H$18,2,FALSE),"0")))</f>
        <v>1768</v>
      </c>
      <c r="W123" s="201">
        <f t="shared" si="99"/>
        <v>0</v>
      </c>
      <c r="X123" s="208">
        <f t="shared" si="115"/>
        <v>3526</v>
      </c>
      <c r="Y123" s="171" t="str">
        <f t="shared" si="101"/>
        <v>SUCCESS</v>
      </c>
      <c r="Z123" s="171" t="str">
        <f t="shared" si="102"/>
        <v>SUCCESS</v>
      </c>
      <c r="AA123" s="185">
        <f t="shared" si="103"/>
        <v>148.34776815456357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504</v>
      </c>
      <c r="B124" s="113">
        <f t="shared" si="94"/>
        <v>45038</v>
      </c>
      <c r="C124" s="118">
        <f t="shared" si="116"/>
        <v>302.59000000000009</v>
      </c>
      <c r="D124" s="181" t="s">
        <v>6</v>
      </c>
      <c r="E124" s="182">
        <f>IF(H123="AFIII",VLOOKUP($D124,Sheet1!$A$34:$K$48,5,FALSE),IF(H123="UBIII",VLOOKUP($D124,Sheet1!$A$34:$K$48,8,FALSE),VLOOKUP($D124,Sheet1!$A$34:$K$48,2,FALSE)))</f>
        <v>2.86</v>
      </c>
      <c r="F124" s="182">
        <f>ROUNDDOWN((IF(H123="AFIII",VLOOKUP($D124,Sheet1!$A$34:$K$48,5,FALSE),IF(H123="UBIII",VLOOKUP($D124,Sheet1!$A$34:$K$48,8,FALSE),VLOOKUP($D124,Sheet1!$A$34:$K$48,2,FALSE))))*0.85,2)</f>
        <v>2.4300000000000002</v>
      </c>
      <c r="G124" s="182">
        <f t="shared" si="119"/>
        <v>2.39</v>
      </c>
      <c r="H124" s="183" t="s">
        <v>84</v>
      </c>
      <c r="I124" s="182">
        <f t="shared" ref="I124" si="131">I123-G124</f>
        <v>4.75</v>
      </c>
      <c r="K124" s="182">
        <f t="shared" si="130"/>
        <v>0.83000000000000185</v>
      </c>
      <c r="L124" s="182">
        <f t="shared" si="113"/>
        <v>4.5400000000000009</v>
      </c>
      <c r="O124" s="182">
        <f>O123-G124</f>
        <v>57.61</v>
      </c>
      <c r="U124" s="184">
        <f t="shared" si="124"/>
        <v>52.729999999999947</v>
      </c>
      <c r="V124" s="201">
        <f>IF(H123="AFIII",VLOOKUP(D124,Sheet1!$A$4:$H$18,5,FALSE),IF(H123="UBIII",VLOOKUP(D124,Sheet1!$A$4:$H$18,8,FALSE),IF(H123="",VLOOKUP(D124,Sheet1!$A$4:$H$18,2,FALSE),"0")))</f>
        <v>1768</v>
      </c>
      <c r="W124" s="201">
        <f t="shared" si="99"/>
        <v>0</v>
      </c>
      <c r="X124" s="208">
        <f t="shared" si="115"/>
        <v>1758</v>
      </c>
      <c r="Y124" s="171" t="str">
        <f t="shared" si="101"/>
        <v>SUCCESS</v>
      </c>
      <c r="Z124" s="171" t="str">
        <f t="shared" si="102"/>
        <v>SUCCESS</v>
      </c>
      <c r="AA124" s="185">
        <f t="shared" si="103"/>
        <v>148.84166694206678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168</v>
      </c>
      <c r="B125" s="113">
        <f t="shared" si="94"/>
        <v>45206</v>
      </c>
      <c r="C125" s="118">
        <f t="shared" si="116"/>
        <v>304.98000000000008</v>
      </c>
      <c r="D125" s="181" t="s">
        <v>12</v>
      </c>
      <c r="E125" s="182">
        <f>IF(H124="AFIII",VLOOKUP($D125,Sheet1!$A$34:$K$48,5,FALSE),IF(H124="UBIII",VLOOKUP($D125,Sheet1!$A$34:$K$48,8,FALSE),VLOOKUP($D125,Sheet1!$A$34:$K$48,2,FALSE)))</f>
        <v>1.67</v>
      </c>
      <c r="F125" s="182">
        <f>ROUNDDOWN((IF(H124="AFIII",VLOOKUP($D125,Sheet1!$A$34:$K$48,5,FALSE),IF(H124="UBIII",VLOOKUP($D125,Sheet1!$A$34:$K$48,8,FALSE),VLOOKUP($D125,Sheet1!$A$34:$K$48,2,FALSE))))*0.85,2)</f>
        <v>1.41</v>
      </c>
      <c r="G125" s="182">
        <f t="shared" si="119"/>
        <v>2.39</v>
      </c>
      <c r="H125" s="183" t="s">
        <v>122</v>
      </c>
      <c r="I125" s="182">
        <v>10</v>
      </c>
      <c r="K125" s="182">
        <f t="shared" si="130"/>
        <v>-1.5599999999999983</v>
      </c>
      <c r="L125" s="182">
        <f>L124-G125</f>
        <v>2.1500000000000008</v>
      </c>
      <c r="O125" s="182">
        <f t="shared" ref="O125:O126" si="132">O124-G125</f>
        <v>55.22</v>
      </c>
      <c r="U125" s="184">
        <f t="shared" si="124"/>
        <v>50.339999999999947</v>
      </c>
      <c r="V125" s="201">
        <f>IF(H124="AFIII",VLOOKUP(D125,Sheet1!$A$4:$H$18,5,FALSE),IF(H124="UBIII",VLOOKUP(D125,Sheet1!$A$4:$H$18,8,FALSE),IF(H124="",VLOOKUP(D125,Sheet1!$A$4:$H$18,2,FALSE),"0")))</f>
        <v>265</v>
      </c>
      <c r="W125" s="201">
        <f t="shared" si="99"/>
        <v>0</v>
      </c>
      <c r="X125" s="208">
        <f t="shared" si="115"/>
        <v>1493</v>
      </c>
      <c r="Y125" s="171" t="str">
        <f t="shared" si="101"/>
        <v>SUCCESS</v>
      </c>
      <c r="Z125" s="171" t="str">
        <f t="shared" si="102"/>
        <v>ERROR</v>
      </c>
      <c r="AA125" s="185">
        <f t="shared" si="103"/>
        <v>148.22611318774997</v>
      </c>
    </row>
    <row r="126" spans="1:27">
      <c r="A126" s="122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295</v>
      </c>
      <c r="B126" s="123">
        <f t="shared" si="94"/>
        <v>45501</v>
      </c>
      <c r="C126" s="124">
        <f>C125+G126</f>
        <v>307.84000000000009</v>
      </c>
      <c r="D126" s="186" t="s">
        <v>19</v>
      </c>
      <c r="E126" s="187">
        <f>IF(H125="AFIII",VLOOKUP($D126,Sheet1!$A$34:$K$48,5,FALSE),IF(H125="UBIII",VLOOKUP($D126,Sheet1!$A$34:$K$48,8,FALSE),VLOOKUP($D126,Sheet1!$A$34:$K$48,2,FALSE)))</f>
        <v>2.86</v>
      </c>
      <c r="F126" s="187">
        <f>ROUNDDOWN((IF(H125="AFIII",VLOOKUP($D126,Sheet1!$A$34:$K$48,5,FALSE),IF(H125="UBIII",VLOOKUP($D126,Sheet1!$A$34:$K$48,8,FALSE),VLOOKUP($D126,Sheet1!$A$34:$K$48,2,FALSE))))*0.85,2)</f>
        <v>2.4300000000000002</v>
      </c>
      <c r="G126" s="187">
        <f t="shared" si="119"/>
        <v>2.86</v>
      </c>
      <c r="H126" s="188" t="s">
        <v>122</v>
      </c>
      <c r="I126" s="187">
        <f>I125-G126</f>
        <v>7.1400000000000006</v>
      </c>
      <c r="J126" s="188" t="s">
        <v>138</v>
      </c>
      <c r="K126" s="187">
        <f t="shared" si="130"/>
        <v>-4.4199999999999982</v>
      </c>
      <c r="L126" s="187">
        <f>L125-G126</f>
        <v>-0.70999999999999908</v>
      </c>
      <c r="M126" s="188"/>
      <c r="N126" s="187"/>
      <c r="O126" s="187">
        <f t="shared" si="132"/>
        <v>52.36</v>
      </c>
      <c r="P126" s="188" t="s">
        <v>17</v>
      </c>
      <c r="Q126" s="187">
        <v>21</v>
      </c>
      <c r="R126" s="187"/>
      <c r="S126" s="188"/>
      <c r="T126" s="187"/>
      <c r="U126" s="189">
        <f t="shared" si="124"/>
        <v>47.479999999999947</v>
      </c>
      <c r="V126" s="209">
        <f>IF(H125="AFIII",VLOOKUP(D126,Sheet1!$A$4:$H$18,5,FALSE),IF(H125="UBIII",VLOOKUP(D126,Sheet1!$A$4:$H$18,8,FALSE),IF(H125="",VLOOKUP(D126,Sheet1!$A$4:$H$18,2,FALSE),"0")))</f>
        <v>1060</v>
      </c>
      <c r="W126" s="209">
        <f t="shared" si="99"/>
        <v>7033</v>
      </c>
      <c r="X126" s="210">
        <f t="shared" si="115"/>
        <v>7466</v>
      </c>
      <c r="Y126" s="190" t="str">
        <f t="shared" si="101"/>
        <v>SUCCESS</v>
      </c>
      <c r="Z126" s="190" t="str">
        <f t="shared" si="102"/>
        <v>ERROR</v>
      </c>
      <c r="AA126" s="185">
        <f t="shared" si="103"/>
        <v>147.80730249480246</v>
      </c>
    </row>
    <row r="127" spans="1:27">
      <c r="A127" s="112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168</v>
      </c>
      <c r="B127" s="113">
        <f t="shared" si="94"/>
        <v>45669</v>
      </c>
      <c r="C127" s="118">
        <f>C126+G127</f>
        <v>310.23000000000008</v>
      </c>
      <c r="D127" s="181" t="s">
        <v>4</v>
      </c>
      <c r="E127" s="182">
        <f>IF(H126="AFIII",VLOOKUP($D127,Sheet1!$A$34:$K$48,5,FALSE),IF(H126="UBIII",VLOOKUP($D127,Sheet1!$A$34:$K$48,8,FALSE),VLOOKUP($D127,Sheet1!$A$34:$K$48,2,FALSE)))</f>
        <v>1.67</v>
      </c>
      <c r="F127" s="182">
        <f>ROUNDDOWN((IF(H126="AFIII",VLOOKUP($D127,Sheet1!$A$34:$K$48,5,FALSE),IF(H126="UBIII",VLOOKUP($D127,Sheet1!$A$34:$K$48,8,FALSE),VLOOKUP($D127,Sheet1!$A$34:$K$48,2,FALSE))))*0.85,2)</f>
        <v>1.41</v>
      </c>
      <c r="G127" s="182">
        <f t="shared" si="119"/>
        <v>2.39</v>
      </c>
      <c r="H127" s="183" t="s">
        <v>84</v>
      </c>
      <c r="I127" s="182">
        <v>10</v>
      </c>
      <c r="J127" s="183" t="s">
        <v>105</v>
      </c>
      <c r="K127" s="182">
        <v>30</v>
      </c>
      <c r="L127" s="182">
        <v>90</v>
      </c>
      <c r="O127" s="182">
        <f>O126-G127</f>
        <v>49.97</v>
      </c>
      <c r="Q127" s="182">
        <f t="shared" ref="Q127:Q134" si="133">Q126-G127</f>
        <v>18.61</v>
      </c>
      <c r="U127" s="184">
        <f t="shared" si="124"/>
        <v>45.089999999999947</v>
      </c>
      <c r="V127" s="201">
        <f>IF(H126="AFIII",VLOOKUP(D127,Sheet1!$A$4:$H$18,5,FALSE),IF(H126="UBIII",VLOOKUP(D127,Sheet1!$A$4:$H$18,8,FALSE),IF(H126="",VLOOKUP(D127,Sheet1!$A$4:$H$18,2,FALSE),"0")))</f>
        <v>442</v>
      </c>
      <c r="W127" s="201">
        <f t="shared" si="99"/>
        <v>7033</v>
      </c>
      <c r="X127" s="208">
        <f t="shared" si="115"/>
        <v>10950</v>
      </c>
      <c r="Y127" s="171" t="str">
        <f t="shared" si="101"/>
        <v>SUCCESS</v>
      </c>
      <c r="Z127" s="171" t="str">
        <f t="shared" si="102"/>
        <v>ERROR</v>
      </c>
      <c r="AA127" s="185">
        <f t="shared" si="103"/>
        <v>147.21013441640071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504</v>
      </c>
      <c r="B128" s="113">
        <f t="shared" si="94"/>
        <v>46173</v>
      </c>
      <c r="C128" s="118">
        <f>C127+G128</f>
        <v>313.09000000000009</v>
      </c>
      <c r="D128" s="181" t="s">
        <v>6</v>
      </c>
      <c r="E128" s="182">
        <f>IF(H127="AFIII",VLOOKUP($D128,Sheet1!$A$34:$K$48,5,FALSE),IF(H127="UBIII",VLOOKUP($D128,Sheet1!$A$34:$K$48,8,FALSE),VLOOKUP($D128,Sheet1!$A$34:$K$48,2,FALSE)))</f>
        <v>2.86</v>
      </c>
      <c r="F128" s="182">
        <f>ROUNDDOWN((IF(H127="AFIII",VLOOKUP($D128,Sheet1!$A$34:$K$48,5,FALSE),IF(H127="UBIII",VLOOKUP($D128,Sheet1!$A$34:$K$48,8,FALSE),VLOOKUP($D128,Sheet1!$A$34:$K$48,2,FALSE))))*0.85,2)</f>
        <v>2.4300000000000002</v>
      </c>
      <c r="G128" s="182">
        <f t="shared" si="119"/>
        <v>2.86</v>
      </c>
      <c r="H128" s="183" t="s">
        <v>84</v>
      </c>
      <c r="I128" s="182">
        <f>I127-G128</f>
        <v>7.1400000000000006</v>
      </c>
      <c r="K128" s="182">
        <f>K127-G128</f>
        <v>27.14</v>
      </c>
      <c r="L128" s="182">
        <f>L127-G128</f>
        <v>87.14</v>
      </c>
      <c r="O128" s="182">
        <f t="shared" ref="O128:O139" si="134">O127-G128</f>
        <v>47.11</v>
      </c>
      <c r="Q128" s="182">
        <f t="shared" si="133"/>
        <v>15.75</v>
      </c>
      <c r="U128" s="184">
        <f t="shared" si="124"/>
        <v>42.229999999999947</v>
      </c>
      <c r="V128" s="201">
        <f>IF(H127="AFIII",VLOOKUP(D128,Sheet1!$A$4:$H$18,5,FALSE),IF(H127="UBIII",VLOOKUP(D128,Sheet1!$A$4:$H$18,8,FALSE),IF(H127="",VLOOKUP(D128,Sheet1!$A$4:$H$18,2,FALSE),"0")))</f>
        <v>1768</v>
      </c>
      <c r="W128" s="201">
        <f t="shared" si="99"/>
        <v>0</v>
      </c>
      <c r="X128" s="208">
        <f t="shared" si="115"/>
        <v>9182</v>
      </c>
      <c r="Y128" s="171" t="str">
        <f t="shared" si="101"/>
        <v>SUCCESS</v>
      </c>
      <c r="Z128" s="171" t="str">
        <f t="shared" si="102"/>
        <v>SUCCESS</v>
      </c>
      <c r="AA128" s="185">
        <f t="shared" si="103"/>
        <v>147.47516688492124</v>
      </c>
    </row>
    <row r="129" spans="1:27">
      <c r="A129" s="11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504</v>
      </c>
      <c r="B129" s="113">
        <f t="shared" si="94"/>
        <v>46677</v>
      </c>
      <c r="C129" s="118">
        <f>C128+G129</f>
        <v>315.9500000000001</v>
      </c>
      <c r="D129" s="181" t="s">
        <v>6</v>
      </c>
      <c r="E129" s="182">
        <f>IF(H128="AFIII",VLOOKUP($D129,Sheet1!$A$34:$K$48,5,FALSE),IF(H128="UBIII",VLOOKUP($D129,Sheet1!$A$34:$K$48,8,FALSE),VLOOKUP($D129,Sheet1!$A$34:$K$48,2,FALSE)))</f>
        <v>2.86</v>
      </c>
      <c r="F129" s="182">
        <f>ROUNDDOWN((IF(H128="AFIII",VLOOKUP($D129,Sheet1!$A$34:$K$48,5,FALSE),IF(H128="UBIII",VLOOKUP($D129,Sheet1!$A$34:$K$48,8,FALSE),VLOOKUP($D129,Sheet1!$A$34:$K$48,2,FALSE))))*0.85,2)</f>
        <v>2.4300000000000002</v>
      </c>
      <c r="G129" s="182">
        <f t="shared" si="119"/>
        <v>2.86</v>
      </c>
      <c r="H129" s="183" t="s">
        <v>84</v>
      </c>
      <c r="I129" s="182">
        <f>I128-G129</f>
        <v>4.2800000000000011</v>
      </c>
      <c r="K129" s="182">
        <f t="shared" ref="K129:K135" si="135">K128-G129</f>
        <v>24.28</v>
      </c>
      <c r="L129" s="182">
        <f t="shared" ref="L129:L161" si="136">L128-G129</f>
        <v>84.28</v>
      </c>
      <c r="O129" s="182">
        <f t="shared" si="134"/>
        <v>44.25</v>
      </c>
      <c r="P129" s="183" t="s">
        <v>131</v>
      </c>
      <c r="Q129" s="182">
        <f t="shared" si="133"/>
        <v>12.89</v>
      </c>
      <c r="R129" s="182">
        <v>60</v>
      </c>
      <c r="U129" s="184">
        <f t="shared" si="124"/>
        <v>39.369999999999948</v>
      </c>
      <c r="V129" s="201">
        <f>IF(H128="AFIII",VLOOKUP(D129,Sheet1!$A$4:$H$18,5,FALSE),IF(H128="UBIII",VLOOKUP(D129,Sheet1!$A$4:$H$18,8,FALSE),IF(H128="",VLOOKUP(D129,Sheet1!$A$4:$H$18,2,FALSE),"0")))</f>
        <v>1768</v>
      </c>
      <c r="W129" s="201">
        <f t="shared" si="99"/>
        <v>0</v>
      </c>
      <c r="X129" s="208">
        <f t="shared" si="115"/>
        <v>7414</v>
      </c>
      <c r="Y129" s="171" t="str">
        <f t="shared" si="101"/>
        <v>SUCCESS</v>
      </c>
      <c r="Z129" s="171" t="str">
        <f t="shared" si="102"/>
        <v>SUCCESS</v>
      </c>
      <c r="AA129" s="185">
        <f t="shared" si="103"/>
        <v>147.73540117107132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324</v>
      </c>
      <c r="B130" s="113">
        <f t="shared" si="94"/>
        <v>47001</v>
      </c>
      <c r="C130" s="118">
        <f t="shared" ref="C130:C161" si="137">C129+G130</f>
        <v>318.34000000000009</v>
      </c>
      <c r="D130" s="181" t="s">
        <v>1</v>
      </c>
      <c r="E130" s="182">
        <f>IF(H129="AFIII",VLOOKUP($D130,Sheet1!$A$34:$K$48,5,FALSE),IF(H129="UBIII",VLOOKUP($D130,Sheet1!$A$34:$K$48,8,FALSE),VLOOKUP($D130,Sheet1!$A$34:$K$48,2,FALSE)))</f>
        <v>2.39</v>
      </c>
      <c r="F130" s="182">
        <f>ROUNDDOWN((IF(H129="AFIII",VLOOKUP($D130,Sheet1!$A$34:$K$48,5,FALSE),IF(H129="UBIII",VLOOKUP($D130,Sheet1!$A$34:$K$48,8,FALSE),VLOOKUP($D130,Sheet1!$A$34:$K$48,2,FALSE))))*0.85,2)</f>
        <v>2.0299999999999998</v>
      </c>
      <c r="G130" s="182">
        <f t="shared" si="119"/>
        <v>2.39</v>
      </c>
      <c r="H130" s="183" t="s">
        <v>84</v>
      </c>
      <c r="I130" s="182">
        <v>10</v>
      </c>
      <c r="K130" s="182">
        <f t="shared" si="135"/>
        <v>21.89</v>
      </c>
      <c r="L130" s="182">
        <f t="shared" si="136"/>
        <v>81.89</v>
      </c>
      <c r="O130" s="182">
        <f t="shared" si="134"/>
        <v>41.86</v>
      </c>
      <c r="Q130" s="182">
        <f t="shared" si="133"/>
        <v>10.5</v>
      </c>
      <c r="R130" s="182">
        <f>R129-G130</f>
        <v>57.61</v>
      </c>
      <c r="U130" s="184">
        <f t="shared" si="124"/>
        <v>36.979999999999947</v>
      </c>
      <c r="V130" s="201">
        <f>IF(H129="AFIII",VLOOKUP(D130,Sheet1!$A$4:$H$18,5,FALSE),IF(H129="UBIII",VLOOKUP(D130,Sheet1!$A$4:$H$18,8,FALSE),IF(H129="",VLOOKUP(D130,Sheet1!$A$4:$H$18,2,FALSE),"0")))</f>
        <v>2120</v>
      </c>
      <c r="W130" s="201">
        <f t="shared" si="99"/>
        <v>0</v>
      </c>
      <c r="X130" s="208">
        <f t="shared" si="115"/>
        <v>5294</v>
      </c>
      <c r="Y130" s="171" t="str">
        <f t="shared" si="101"/>
        <v>SUCCESS</v>
      </c>
      <c r="Z130" s="171" t="str">
        <f t="shared" si="102"/>
        <v>SUCCESS</v>
      </c>
      <c r="AA130" s="185">
        <f t="shared" si="103"/>
        <v>147.64402839731102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432</v>
      </c>
      <c r="B131" s="113">
        <f t="shared" si="94"/>
        <v>47433</v>
      </c>
      <c r="C131" s="118">
        <f t="shared" si="137"/>
        <v>320.73000000000008</v>
      </c>
      <c r="D131" s="181" t="s">
        <v>129</v>
      </c>
      <c r="E131" s="182">
        <f>IF(H130="AFIII",VLOOKUP($D131,Sheet1!$A$34:$K$48,5,FALSE),IF(H130="UBIII",VLOOKUP($D131,Sheet1!$A$34:$K$48,8,FALSE),VLOOKUP($D131,Sheet1!$A$34:$K$48,2,FALSE)))</f>
        <v>2.39</v>
      </c>
      <c r="F131" s="182">
        <f>ROUNDDOWN((IF(H130="AFIII",VLOOKUP($D131,Sheet1!$A$34:$K$48,5,FALSE),IF(H130="UBIII",VLOOKUP($D131,Sheet1!$A$34:$K$48,8,FALSE),VLOOKUP($D131,Sheet1!$A$34:$K$48,2,FALSE))))*0.85,2)</f>
        <v>2.0299999999999998</v>
      </c>
      <c r="G131" s="182">
        <f t="shared" si="119"/>
        <v>2.39</v>
      </c>
      <c r="H131" s="183" t="s">
        <v>84</v>
      </c>
      <c r="I131" s="182">
        <v>10</v>
      </c>
      <c r="K131" s="182">
        <f t="shared" si="135"/>
        <v>19.5</v>
      </c>
      <c r="L131" s="182">
        <f t="shared" si="136"/>
        <v>79.5</v>
      </c>
      <c r="O131" s="182">
        <f t="shared" si="134"/>
        <v>39.47</v>
      </c>
      <c r="Q131" s="182">
        <f t="shared" si="133"/>
        <v>8.11</v>
      </c>
      <c r="R131" s="182">
        <f t="shared" ref="R131:R149" si="138">R130-G131</f>
        <v>55.22</v>
      </c>
      <c r="U131" s="184">
        <f t="shared" si="124"/>
        <v>34.589999999999947</v>
      </c>
      <c r="V131" s="201">
        <f>IF(H130="AFIII",VLOOKUP(D131,Sheet1!$A$4:$H$18,5,FALSE),IF(H130="UBIII",VLOOKUP(D131,Sheet1!$A$4:$H$18,8,FALSE),IF(H130="",VLOOKUP(D131,Sheet1!$A$4:$H$18,2,FALSE),"0")))</f>
        <v>0</v>
      </c>
      <c r="W131" s="201">
        <f t="shared" si="99"/>
        <v>0</v>
      </c>
      <c r="X131" s="208">
        <f t="shared" si="115"/>
        <v>5294</v>
      </c>
      <c r="Y131" s="171" t="str">
        <f t="shared" si="101"/>
        <v>SUCCESS</v>
      </c>
      <c r="Z131" s="171" t="str">
        <f t="shared" si="102"/>
        <v>SUCCESS</v>
      </c>
      <c r="AA131" s="185">
        <f t="shared" si="103"/>
        <v>147.89074922832285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94"/>
        <v>47937</v>
      </c>
      <c r="C132" s="118">
        <f t="shared" si="137"/>
        <v>323.59000000000009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119"/>
        <v>2.86</v>
      </c>
      <c r="H132" s="183" t="s">
        <v>84</v>
      </c>
      <c r="I132" s="182">
        <f>I131-G132</f>
        <v>7.1400000000000006</v>
      </c>
      <c r="K132" s="182">
        <f t="shared" si="135"/>
        <v>16.64</v>
      </c>
      <c r="L132" s="182">
        <f t="shared" si="136"/>
        <v>76.64</v>
      </c>
      <c r="O132" s="182">
        <f t="shared" si="134"/>
        <v>36.61</v>
      </c>
      <c r="Q132" s="182">
        <f t="shared" si="133"/>
        <v>5.25</v>
      </c>
      <c r="R132" s="182">
        <f t="shared" si="138"/>
        <v>52.36</v>
      </c>
      <c r="U132" s="184">
        <f t="shared" si="124"/>
        <v>31.729999999999947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99"/>
        <v>0</v>
      </c>
      <c r="X132" s="208">
        <f t="shared" si="115"/>
        <v>3526</v>
      </c>
      <c r="Y132" s="171" t="str">
        <f t="shared" si="101"/>
        <v>SUCCESS</v>
      </c>
      <c r="Z132" s="171" t="str">
        <f t="shared" si="102"/>
        <v>SUCCESS</v>
      </c>
      <c r="AA132" s="185">
        <f t="shared" si="103"/>
        <v>148.14116629067644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504</v>
      </c>
      <c r="B133" s="113">
        <f t="shared" si="94"/>
        <v>48441</v>
      </c>
      <c r="C133" s="118">
        <f t="shared" si="137"/>
        <v>326.4500000000001</v>
      </c>
      <c r="D133" s="181" t="s">
        <v>6</v>
      </c>
      <c r="E133" s="182">
        <f>IF(H132="AFIII",VLOOKUP($D133,Sheet1!$A$34:$K$48,5,FALSE),IF(H132="UBIII",VLOOKUP($D133,Sheet1!$A$34:$K$48,8,FALSE),VLOOKUP($D133,Sheet1!$A$34:$K$48,2,FALSE)))</f>
        <v>2.86</v>
      </c>
      <c r="F133" s="182">
        <f>ROUNDDOWN((IF(H132="AFIII",VLOOKUP($D133,Sheet1!$A$34:$K$48,5,FALSE),IF(H132="UBIII",VLOOKUP($D133,Sheet1!$A$34:$K$48,8,FALSE),VLOOKUP($D133,Sheet1!$A$34:$K$48,2,FALSE))))*0.85,2)</f>
        <v>2.4300000000000002</v>
      </c>
      <c r="G133" s="182">
        <f t="shared" si="119"/>
        <v>2.86</v>
      </c>
      <c r="H133" s="183" t="s">
        <v>84</v>
      </c>
      <c r="I133" s="182">
        <f>I132-G133</f>
        <v>4.2800000000000011</v>
      </c>
      <c r="K133" s="182">
        <f t="shared" si="135"/>
        <v>13.780000000000001</v>
      </c>
      <c r="L133" s="182">
        <f t="shared" si="136"/>
        <v>73.78</v>
      </c>
      <c r="O133" s="182">
        <f t="shared" si="134"/>
        <v>33.75</v>
      </c>
      <c r="Q133" s="182">
        <f t="shared" si="133"/>
        <v>2.39</v>
      </c>
      <c r="R133" s="182">
        <f t="shared" si="138"/>
        <v>49.5</v>
      </c>
      <c r="U133" s="184">
        <f t="shared" si="124"/>
        <v>28.869999999999948</v>
      </c>
      <c r="V133" s="201">
        <f>IF(H132="AFIII",VLOOKUP(D133,Sheet1!$A$4:$H$18,5,FALSE),IF(H132="UBIII",VLOOKUP(D133,Sheet1!$A$4:$H$18,8,FALSE),IF(H132="",VLOOKUP(D133,Sheet1!$A$4:$H$18,2,FALSE),"0")))</f>
        <v>1768</v>
      </c>
      <c r="W133" s="201">
        <f t="shared" si="99"/>
        <v>0</v>
      </c>
      <c r="X133" s="208">
        <f t="shared" si="115"/>
        <v>1758</v>
      </c>
      <c r="Y133" s="171" t="str">
        <f t="shared" si="101"/>
        <v>SUCCESS</v>
      </c>
      <c r="Z133" s="171" t="str">
        <f t="shared" si="102"/>
        <v>SUCCESS</v>
      </c>
      <c r="AA133" s="185">
        <f t="shared" si="103"/>
        <v>148.38719558891097</v>
      </c>
    </row>
    <row r="134" spans="1:27">
      <c r="A134" s="11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168</v>
      </c>
      <c r="B134" s="113">
        <f t="shared" si="94"/>
        <v>48609</v>
      </c>
      <c r="C134" s="118">
        <f t="shared" si="137"/>
        <v>328.84000000000009</v>
      </c>
      <c r="D134" s="181" t="s">
        <v>12</v>
      </c>
      <c r="E134" s="182">
        <f>IF(H133="AFIII",VLOOKUP($D134,Sheet1!$A$34:$K$48,5,FALSE),IF(H133="UBIII",VLOOKUP($D134,Sheet1!$A$34:$K$48,8,FALSE),VLOOKUP($D134,Sheet1!$A$34:$K$48,2,FALSE)))</f>
        <v>1.67</v>
      </c>
      <c r="F134" s="182">
        <f>ROUNDDOWN((IF(H133="AFIII",VLOOKUP($D134,Sheet1!$A$34:$K$48,5,FALSE),IF(H133="UBIII",VLOOKUP($D134,Sheet1!$A$34:$K$48,8,FALSE),VLOOKUP($D134,Sheet1!$A$34:$K$48,2,FALSE))))*0.85,2)</f>
        <v>1.41</v>
      </c>
      <c r="G134" s="182">
        <f t="shared" si="119"/>
        <v>2.39</v>
      </c>
      <c r="H134" s="183" t="s">
        <v>122</v>
      </c>
      <c r="I134" s="182">
        <v>10</v>
      </c>
      <c r="K134" s="182">
        <f t="shared" si="135"/>
        <v>11.39</v>
      </c>
      <c r="L134" s="182">
        <f t="shared" si="136"/>
        <v>71.39</v>
      </c>
      <c r="O134" s="182">
        <f t="shared" si="134"/>
        <v>31.36</v>
      </c>
      <c r="Q134" s="182">
        <f t="shared" si="133"/>
        <v>0</v>
      </c>
      <c r="R134" s="182">
        <f t="shared" si="138"/>
        <v>47.11</v>
      </c>
      <c r="U134" s="184">
        <f t="shared" si="124"/>
        <v>26.479999999999947</v>
      </c>
      <c r="V134" s="201">
        <f>IF(H133="AFIII",VLOOKUP(D134,Sheet1!$A$4:$H$18,5,FALSE),IF(H133="UBIII",VLOOKUP(D134,Sheet1!$A$4:$H$18,8,FALSE),IF(H133="",VLOOKUP(D134,Sheet1!$A$4:$H$18,2,FALSE),"0")))</f>
        <v>265</v>
      </c>
      <c r="W134" s="201">
        <f t="shared" si="99"/>
        <v>0</v>
      </c>
      <c r="X134" s="208">
        <f t="shared" si="115"/>
        <v>1493</v>
      </c>
      <c r="Y134" s="171" t="str">
        <f t="shared" si="101"/>
        <v>SUCCESS</v>
      </c>
      <c r="Z134" s="171" t="str">
        <f t="shared" si="102"/>
        <v>SUCCESS</v>
      </c>
      <c r="AA134" s="185">
        <f t="shared" si="103"/>
        <v>147.81960832015565</v>
      </c>
    </row>
    <row r="135" spans="1:27">
      <c r="A135" s="112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295</v>
      </c>
      <c r="B135" s="113">
        <f t="shared" si="94"/>
        <v>48904</v>
      </c>
      <c r="C135" s="118">
        <f t="shared" si="137"/>
        <v>331.7000000000001</v>
      </c>
      <c r="D135" s="181" t="s">
        <v>19</v>
      </c>
      <c r="E135" s="182">
        <f>IF(H134="AFIII",VLOOKUP($D135,Sheet1!$A$34:$K$48,5,FALSE),IF(H134="UBIII",VLOOKUP($D135,Sheet1!$A$34:$K$48,8,FALSE),VLOOKUP($D135,Sheet1!$A$34:$K$48,2,FALSE)))</f>
        <v>2.86</v>
      </c>
      <c r="F135" s="182">
        <f>ROUNDDOWN((IF(H134="AFIII",VLOOKUP($D135,Sheet1!$A$34:$K$48,5,FALSE),IF(H134="UBIII",VLOOKUP($D135,Sheet1!$A$34:$K$48,8,FALSE),VLOOKUP($D135,Sheet1!$A$34:$K$48,2,FALSE))))*0.85,2)</f>
        <v>2.4300000000000002</v>
      </c>
      <c r="G135" s="182">
        <f t="shared" si="119"/>
        <v>2.86</v>
      </c>
      <c r="H135" s="183" t="s">
        <v>122</v>
      </c>
      <c r="I135" s="182">
        <f>I134-G135</f>
        <v>7.1400000000000006</v>
      </c>
      <c r="K135" s="182">
        <f t="shared" si="135"/>
        <v>8.5300000000000011</v>
      </c>
      <c r="L135" s="182">
        <f t="shared" si="136"/>
        <v>68.53</v>
      </c>
      <c r="O135" s="182">
        <f t="shared" si="134"/>
        <v>28.5</v>
      </c>
      <c r="P135" s="183" t="s">
        <v>17</v>
      </c>
      <c r="Q135" s="182">
        <v>21</v>
      </c>
      <c r="R135" s="182">
        <f t="shared" si="138"/>
        <v>44.25</v>
      </c>
      <c r="U135" s="184">
        <f t="shared" si="124"/>
        <v>23.619999999999948</v>
      </c>
      <c r="V135" s="201">
        <f>IF(H134="AFIII",VLOOKUP(D135,Sheet1!$A$4:$H$18,5,FALSE),IF(H134="UBIII",VLOOKUP(D135,Sheet1!$A$4:$H$18,8,FALSE),IF(H134="",VLOOKUP(D135,Sheet1!$A$4:$H$18,2,FALSE),"0")))</f>
        <v>1060</v>
      </c>
      <c r="W135" s="201">
        <f t="shared" si="99"/>
        <v>7033</v>
      </c>
      <c r="X135" s="208">
        <f t="shared" si="115"/>
        <v>7466</v>
      </c>
      <c r="Y135" s="171" t="str">
        <f t="shared" si="101"/>
        <v>SUCCESS</v>
      </c>
      <c r="Z135" s="171" t="str">
        <f t="shared" si="102"/>
        <v>SUCCESS</v>
      </c>
      <c r="AA135" s="185">
        <f t="shared" si="103"/>
        <v>147.43442870063305</v>
      </c>
    </row>
    <row r="136" spans="1:27">
      <c r="A136" s="119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280</v>
      </c>
      <c r="B136" s="120">
        <f t="shared" si="94"/>
        <v>49184</v>
      </c>
      <c r="C136" s="121">
        <f t="shared" si="137"/>
        <v>334.56000000000012</v>
      </c>
      <c r="D136" s="191" t="s">
        <v>14</v>
      </c>
      <c r="E136" s="192">
        <f>IF(H135="AFIII",VLOOKUP($D136,Sheet1!$A$34:$K$48,5,FALSE),IF(H135="UBIII",VLOOKUP($D136,Sheet1!$A$34:$K$48,8,FALSE),VLOOKUP($D136,Sheet1!$A$34:$K$48,2,FALSE)))</f>
        <v>2.86</v>
      </c>
      <c r="F136" s="192">
        <f>ROUNDDOWN((IF(H135="AFIII",VLOOKUP($D136,Sheet1!$A$34:$K$48,5,FALSE),IF(H135="UBIII",VLOOKUP($D136,Sheet1!$A$34:$K$48,8,FALSE),VLOOKUP($D136,Sheet1!$A$34:$K$48,2,FALSE))))*0.85,2)</f>
        <v>2.4300000000000002</v>
      </c>
      <c r="G136" s="192">
        <f t="shared" si="119"/>
        <v>2.86</v>
      </c>
      <c r="H136" s="193" t="s">
        <v>122</v>
      </c>
      <c r="I136" s="192">
        <f>I135-G136</f>
        <v>4.2800000000000011</v>
      </c>
      <c r="J136" s="193"/>
      <c r="K136" s="192">
        <v>25</v>
      </c>
      <c r="L136" s="192">
        <f t="shared" si="136"/>
        <v>65.67</v>
      </c>
      <c r="M136" s="193"/>
      <c r="N136" s="192"/>
      <c r="O136" s="192">
        <f t="shared" si="134"/>
        <v>25.64</v>
      </c>
      <c r="P136" s="193"/>
      <c r="Q136" s="192">
        <f>Q135-G136</f>
        <v>18.14</v>
      </c>
      <c r="R136" s="192">
        <f t="shared" si="138"/>
        <v>41.39</v>
      </c>
      <c r="S136" s="193"/>
      <c r="T136" s="192"/>
      <c r="U136" s="194">
        <f t="shared" si="124"/>
        <v>20.759999999999948</v>
      </c>
      <c r="V136" s="211">
        <f>IF(H135="AFIII",VLOOKUP(D136,Sheet1!$A$4:$H$18,5,FALSE),IF(H135="UBIII",VLOOKUP(D136,Sheet1!$A$4:$H$18,8,FALSE),IF(H135="",VLOOKUP(D136,Sheet1!$A$4:$H$18,2,FALSE),"0")))</f>
        <v>884</v>
      </c>
      <c r="W136" s="211">
        <f t="shared" si="99"/>
        <v>7033</v>
      </c>
      <c r="X136" s="212">
        <f t="shared" si="115"/>
        <v>10508</v>
      </c>
      <c r="Y136" s="195" t="str">
        <f t="shared" si="101"/>
        <v>SUCCESS</v>
      </c>
      <c r="Z136" s="195" t="str">
        <f t="shared" si="102"/>
        <v>SUCCESS</v>
      </c>
      <c r="AA136" s="185">
        <f t="shared" si="103"/>
        <v>147.01099952175989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168</v>
      </c>
      <c r="B137" s="113">
        <f t="shared" si="94"/>
        <v>49352</v>
      </c>
      <c r="C137" s="118">
        <f t="shared" si="137"/>
        <v>336.9500000000001</v>
      </c>
      <c r="D137" s="181" t="s">
        <v>4</v>
      </c>
      <c r="E137" s="182">
        <f>IF(H136="AFIII",VLOOKUP($D137,Sheet1!$A$34:$K$48,5,FALSE),IF(H136="UBIII",VLOOKUP($D137,Sheet1!$A$34:$K$48,8,FALSE),VLOOKUP($D137,Sheet1!$A$34:$K$48,2,FALSE)))</f>
        <v>1.67</v>
      </c>
      <c r="F137" s="182">
        <f>ROUNDDOWN((IF(H136="AFIII",VLOOKUP($D137,Sheet1!$A$34:$K$48,5,FALSE),IF(H136="UBIII",VLOOKUP($D137,Sheet1!$A$34:$K$48,8,FALSE),VLOOKUP($D137,Sheet1!$A$34:$K$48,2,FALSE))))*0.85,2)</f>
        <v>1.41</v>
      </c>
      <c r="G137" s="182">
        <f t="shared" si="119"/>
        <v>2.39</v>
      </c>
      <c r="H137" s="183" t="s">
        <v>84</v>
      </c>
      <c r="I137" s="182">
        <v>10</v>
      </c>
      <c r="K137" s="182">
        <f t="shared" ref="K137:K140" si="139">K136-G137</f>
        <v>22.61</v>
      </c>
      <c r="L137" s="182">
        <f t="shared" si="136"/>
        <v>63.28</v>
      </c>
      <c r="O137" s="182">
        <f t="shared" si="134"/>
        <v>23.25</v>
      </c>
      <c r="Q137" s="182">
        <f t="shared" ref="Q137:Q143" si="140">Q136-G137</f>
        <v>15.75</v>
      </c>
      <c r="R137" s="182">
        <f t="shared" si="138"/>
        <v>39</v>
      </c>
      <c r="U137" s="184">
        <f t="shared" si="124"/>
        <v>18.369999999999948</v>
      </c>
      <c r="V137" s="201">
        <f>IF(H136="AFIII",VLOOKUP(D137,Sheet1!$A$4:$H$18,5,FALSE),IF(H136="UBIII",VLOOKUP(D137,Sheet1!$A$4:$H$18,8,FALSE),IF(H136="",VLOOKUP(D137,Sheet1!$A$4:$H$18,2,FALSE),"0")))</f>
        <v>442</v>
      </c>
      <c r="W137" s="201">
        <f t="shared" si="99"/>
        <v>7033</v>
      </c>
      <c r="X137" s="208">
        <f t="shared" si="115"/>
        <v>10950</v>
      </c>
      <c r="Y137" s="171" t="str">
        <f t="shared" si="101"/>
        <v>SUCCESS</v>
      </c>
      <c r="Z137" s="171" t="str">
        <f t="shared" si="102"/>
        <v>SUCCESS</v>
      </c>
      <c r="AA137" s="185">
        <f t="shared" si="103"/>
        <v>146.46683484196464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504</v>
      </c>
      <c r="B138" s="113">
        <f t="shared" si="94"/>
        <v>49856</v>
      </c>
      <c r="C138" s="118">
        <f t="shared" si="137"/>
        <v>339.81000000000012</v>
      </c>
      <c r="D138" s="181" t="s">
        <v>6</v>
      </c>
      <c r="E138" s="182">
        <f>IF(H137="AFIII",VLOOKUP($D138,Sheet1!$A$34:$K$48,5,FALSE),IF(H137="UBIII",VLOOKUP($D138,Sheet1!$A$34:$K$48,8,FALSE),VLOOKUP($D138,Sheet1!$A$34:$K$48,2,FALSE)))</f>
        <v>2.86</v>
      </c>
      <c r="F138" s="182">
        <f>ROUNDDOWN((IF(H137="AFIII",VLOOKUP($D138,Sheet1!$A$34:$K$48,5,FALSE),IF(H137="UBIII",VLOOKUP($D138,Sheet1!$A$34:$K$48,8,FALSE),VLOOKUP($D138,Sheet1!$A$34:$K$48,2,FALSE))))*0.85,2)</f>
        <v>2.4300000000000002</v>
      </c>
      <c r="G138" s="182">
        <f t="shared" si="119"/>
        <v>2.86</v>
      </c>
      <c r="H138" s="183" t="s">
        <v>84</v>
      </c>
      <c r="I138" s="182">
        <f>I137-G138</f>
        <v>7.1400000000000006</v>
      </c>
      <c r="K138" s="182">
        <f t="shared" si="139"/>
        <v>19.75</v>
      </c>
      <c r="L138" s="182">
        <f t="shared" si="136"/>
        <v>60.42</v>
      </c>
      <c r="O138" s="182">
        <f t="shared" si="134"/>
        <v>20.39</v>
      </c>
      <c r="Q138" s="182">
        <f t="shared" si="140"/>
        <v>12.89</v>
      </c>
      <c r="R138" s="182">
        <f t="shared" si="138"/>
        <v>36.14</v>
      </c>
      <c r="U138" s="184">
        <f t="shared" si="124"/>
        <v>15.509999999999948</v>
      </c>
      <c r="V138" s="201">
        <f>IF(H137="AFIII",VLOOKUP(D138,Sheet1!$A$4:$H$18,5,FALSE),IF(H137="UBIII",VLOOKUP(D138,Sheet1!$A$4:$H$18,8,FALSE),IF(H137="",VLOOKUP(D138,Sheet1!$A$4:$H$18,2,FALSE),"0")))</f>
        <v>1768</v>
      </c>
      <c r="W138" s="201">
        <f t="shared" si="99"/>
        <v>0</v>
      </c>
      <c r="X138" s="208">
        <f t="shared" si="115"/>
        <v>9182</v>
      </c>
      <c r="Y138" s="171" t="str">
        <f t="shared" si="101"/>
        <v>SUCCESS</v>
      </c>
      <c r="Z138" s="171" t="str">
        <f t="shared" si="102"/>
        <v>SUCCESS</v>
      </c>
      <c r="AA138" s="185">
        <f t="shared" si="103"/>
        <v>146.71728318766364</v>
      </c>
    </row>
    <row r="139" spans="1:27">
      <c r="A139" s="112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504</v>
      </c>
      <c r="B139" s="113">
        <f t="shared" si="94"/>
        <v>50360</v>
      </c>
      <c r="C139" s="118">
        <f t="shared" si="137"/>
        <v>342.67000000000013</v>
      </c>
      <c r="D139" s="181" t="s">
        <v>6</v>
      </c>
      <c r="E139" s="182">
        <f>IF(H138="AFIII",VLOOKUP($D139,Sheet1!$A$34:$K$48,5,FALSE),IF(H138="UBIII",VLOOKUP($D139,Sheet1!$A$34:$K$48,8,FALSE),VLOOKUP($D139,Sheet1!$A$34:$K$48,2,FALSE)))</f>
        <v>2.86</v>
      </c>
      <c r="F139" s="182">
        <f>ROUNDDOWN((IF(H138="AFIII",VLOOKUP($D139,Sheet1!$A$34:$K$48,5,FALSE),IF(H138="UBIII",VLOOKUP($D139,Sheet1!$A$34:$K$48,8,FALSE),VLOOKUP($D139,Sheet1!$A$34:$K$48,2,FALSE))))*0.85,2)</f>
        <v>2.4300000000000002</v>
      </c>
      <c r="G139" s="182">
        <f t="shared" si="119"/>
        <v>2.86</v>
      </c>
      <c r="H139" s="183" t="s">
        <v>84</v>
      </c>
      <c r="I139" s="182">
        <f t="shared" ref="I139" si="141">I138-G139</f>
        <v>4.2800000000000011</v>
      </c>
      <c r="K139" s="182">
        <f t="shared" si="139"/>
        <v>16.89</v>
      </c>
      <c r="L139" s="182">
        <f t="shared" si="136"/>
        <v>57.56</v>
      </c>
      <c r="O139" s="182">
        <f t="shared" si="134"/>
        <v>17.53</v>
      </c>
      <c r="Q139" s="182">
        <f t="shared" si="140"/>
        <v>10.030000000000001</v>
      </c>
      <c r="R139" s="182">
        <f t="shared" si="138"/>
        <v>33.28</v>
      </c>
      <c r="U139" s="184">
        <f t="shared" si="124"/>
        <v>12.649999999999949</v>
      </c>
      <c r="V139" s="201">
        <f>IF(H138="AFIII",VLOOKUP(D139,Sheet1!$A$4:$H$18,5,FALSE),IF(H138="UBIII",VLOOKUP(D139,Sheet1!$A$4:$H$18,8,FALSE),IF(H138="",VLOOKUP(D139,Sheet1!$A$4:$H$18,2,FALSE),"0")))</f>
        <v>1768</v>
      </c>
      <c r="W139" s="201">
        <f t="shared" si="99"/>
        <v>0</v>
      </c>
      <c r="X139" s="208">
        <f t="shared" si="115"/>
        <v>7414</v>
      </c>
      <c r="Y139" s="171" t="str">
        <f t="shared" si="101"/>
        <v>SUCCESS</v>
      </c>
      <c r="Z139" s="171" t="str">
        <f t="shared" si="102"/>
        <v>SUCCESS</v>
      </c>
      <c r="AA139" s="185">
        <f t="shared" si="103"/>
        <v>146.96355093822038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324</v>
      </c>
      <c r="B140" s="113">
        <f t="shared" si="94"/>
        <v>50684</v>
      </c>
      <c r="C140" s="118">
        <f t="shared" si="137"/>
        <v>345.06000000000012</v>
      </c>
      <c r="D140" s="181" t="s">
        <v>1</v>
      </c>
      <c r="E140" s="182">
        <f>IF(H139="AFIII",VLOOKUP($D140,Sheet1!$A$34:$K$48,5,FALSE),IF(H139="UBIII",VLOOKUP($D140,Sheet1!$A$34:$K$48,8,FALSE),VLOOKUP($D140,Sheet1!$A$34:$K$48,2,FALSE)))</f>
        <v>2.39</v>
      </c>
      <c r="F140" s="182">
        <f>ROUNDDOWN((IF(H139="AFIII",VLOOKUP($D140,Sheet1!$A$34:$K$48,5,FALSE),IF(H139="UBIII",VLOOKUP($D140,Sheet1!$A$34:$K$48,8,FALSE),VLOOKUP($D140,Sheet1!$A$34:$K$48,2,FALSE))))*0.85,2)</f>
        <v>2.0299999999999998</v>
      </c>
      <c r="G140" s="182">
        <f t="shared" si="119"/>
        <v>2.39</v>
      </c>
      <c r="H140" s="183" t="s">
        <v>84</v>
      </c>
      <c r="I140" s="182">
        <v>10</v>
      </c>
      <c r="K140" s="182">
        <f t="shared" si="139"/>
        <v>14.5</v>
      </c>
      <c r="L140" s="182">
        <f t="shared" si="136"/>
        <v>55.17</v>
      </c>
      <c r="O140" s="182">
        <f>O139-G140</f>
        <v>15.14</v>
      </c>
      <c r="Q140" s="182">
        <f t="shared" si="140"/>
        <v>7.6400000000000006</v>
      </c>
      <c r="R140" s="182">
        <f t="shared" si="138"/>
        <v>30.89</v>
      </c>
      <c r="U140" s="184">
        <f t="shared" si="124"/>
        <v>10.259999999999948</v>
      </c>
      <c r="V140" s="201">
        <f>IF(H139="AFIII",VLOOKUP(D140,Sheet1!$A$4:$H$18,5,FALSE),IF(H139="UBIII",VLOOKUP(D140,Sheet1!$A$4:$H$18,8,FALSE),IF(H139="",VLOOKUP(D140,Sheet1!$A$4:$H$18,2,FALSE),"0")))</f>
        <v>2120</v>
      </c>
      <c r="W140" s="201">
        <f t="shared" si="99"/>
        <v>0</v>
      </c>
      <c r="X140" s="208">
        <f t="shared" si="115"/>
        <v>5294</v>
      </c>
      <c r="Y140" s="171" t="str">
        <f t="shared" si="101"/>
        <v>SUCCESS</v>
      </c>
      <c r="Z140" s="171" t="str">
        <f t="shared" si="102"/>
        <v>SUCCESS</v>
      </c>
      <c r="AA140" s="185">
        <f t="shared" si="103"/>
        <v>146.88459977974841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504</v>
      </c>
      <c r="B141" s="113">
        <f t="shared" si="94"/>
        <v>51188</v>
      </c>
      <c r="C141" s="118">
        <f t="shared" si="137"/>
        <v>347.92000000000013</v>
      </c>
      <c r="D141" s="181" t="s">
        <v>6</v>
      </c>
      <c r="E141" s="182">
        <f>IF(H140="AFIII",VLOOKUP($D141,Sheet1!$A$34:$K$48,5,FALSE),IF(H140="UBIII",VLOOKUP($D141,Sheet1!$A$34:$K$48,8,FALSE),VLOOKUP($D141,Sheet1!$A$34:$K$48,2,FALSE)))</f>
        <v>2.86</v>
      </c>
      <c r="F141" s="182">
        <f>ROUNDDOWN((IF(H140="AFIII",VLOOKUP($D141,Sheet1!$A$34:$K$48,5,FALSE),IF(H140="UBIII",VLOOKUP($D141,Sheet1!$A$34:$K$48,8,FALSE),VLOOKUP($D141,Sheet1!$A$34:$K$48,2,FALSE))))*0.85,2)</f>
        <v>2.4300000000000002</v>
      </c>
      <c r="G141" s="182">
        <f t="shared" si="119"/>
        <v>2.86</v>
      </c>
      <c r="H141" s="183" t="s">
        <v>84</v>
      </c>
      <c r="I141" s="182">
        <f t="shared" ref="I141:I142" si="142">I140-G141</f>
        <v>7.1400000000000006</v>
      </c>
      <c r="K141" s="182">
        <f>K140-G141</f>
        <v>11.64</v>
      </c>
      <c r="L141" s="182">
        <f t="shared" si="136"/>
        <v>52.31</v>
      </c>
      <c r="O141" s="182">
        <f t="shared" ref="O141:O147" si="143">O140-G141</f>
        <v>12.280000000000001</v>
      </c>
      <c r="Q141" s="182">
        <f t="shared" si="140"/>
        <v>4.7800000000000011</v>
      </c>
      <c r="R141" s="182">
        <f t="shared" si="138"/>
        <v>28.03</v>
      </c>
      <c r="U141" s="184">
        <f t="shared" si="124"/>
        <v>7.3999999999999488</v>
      </c>
      <c r="V141" s="201">
        <f>IF(H140="AFIII",VLOOKUP(D141,Sheet1!$A$4:$H$18,5,FALSE),IF(H140="UBIII",VLOOKUP(D141,Sheet1!$A$4:$H$18,8,FALSE),IF(H140="",VLOOKUP(D141,Sheet1!$A$4:$H$18,2,FALSE),"0")))</f>
        <v>1768</v>
      </c>
      <c r="W141" s="201">
        <f t="shared" si="99"/>
        <v>0</v>
      </c>
      <c r="X141" s="208">
        <f t="shared" si="115"/>
        <v>3526</v>
      </c>
      <c r="Y141" s="171" t="str">
        <f t="shared" si="101"/>
        <v>SUCCESS</v>
      </c>
      <c r="Z141" s="171" t="str">
        <f t="shared" si="102"/>
        <v>SUCCESS</v>
      </c>
      <c r="AA141" s="185">
        <f t="shared" si="103"/>
        <v>147.12577604046902</v>
      </c>
    </row>
    <row r="142" spans="1:27">
      <c r="A142" s="112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504</v>
      </c>
      <c r="B142" s="113">
        <f t="shared" si="94"/>
        <v>51692</v>
      </c>
      <c r="C142" s="118">
        <f t="shared" si="137"/>
        <v>350.78000000000014</v>
      </c>
      <c r="D142" s="181" t="s">
        <v>6</v>
      </c>
      <c r="E142" s="182">
        <f>IF(H141="AFIII",VLOOKUP($D142,Sheet1!$A$34:$K$48,5,FALSE),IF(H141="UBIII",VLOOKUP($D142,Sheet1!$A$34:$K$48,8,FALSE),VLOOKUP($D142,Sheet1!$A$34:$K$48,2,FALSE)))</f>
        <v>2.86</v>
      </c>
      <c r="F142" s="182">
        <f>ROUNDDOWN((IF(H141="AFIII",VLOOKUP($D142,Sheet1!$A$34:$K$48,5,FALSE),IF(H141="UBIII",VLOOKUP($D142,Sheet1!$A$34:$K$48,8,FALSE),VLOOKUP($D142,Sheet1!$A$34:$K$48,2,FALSE))))*0.85,2)</f>
        <v>2.4300000000000002</v>
      </c>
      <c r="G142" s="182">
        <f>IF(M141="迅速",IF(S141="黒魔紋",$F$1,$E$1),IF(S141="黒魔紋",IF(F142&lt;$F$1,$F$1,F142),IF(E142&lt;$E$1,$E$1,E142)))</f>
        <v>2.86</v>
      </c>
      <c r="H142" s="183" t="s">
        <v>84</v>
      </c>
      <c r="I142" s="182">
        <f t="shared" si="142"/>
        <v>4.2800000000000011</v>
      </c>
      <c r="K142" s="182">
        <f t="shared" ref="K142:K144" si="144">K141-G142</f>
        <v>8.7800000000000011</v>
      </c>
      <c r="L142" s="182">
        <f t="shared" si="136"/>
        <v>49.45</v>
      </c>
      <c r="O142" s="182">
        <f t="shared" si="143"/>
        <v>9.4200000000000017</v>
      </c>
      <c r="Q142" s="182">
        <f t="shared" si="140"/>
        <v>1.9200000000000013</v>
      </c>
      <c r="R142" s="182">
        <f t="shared" si="138"/>
        <v>25.17</v>
      </c>
      <c r="U142" s="184">
        <f t="shared" si="124"/>
        <v>4.5399999999999494</v>
      </c>
      <c r="V142" s="201">
        <f>IF(H141="AFIII",VLOOKUP(D142,Sheet1!$A$4:$H$18,5,FALSE),IF(H141="UBIII",VLOOKUP(D142,Sheet1!$A$4:$H$18,8,FALSE),IF(H141="",VLOOKUP(D142,Sheet1!$A$4:$H$18,2,FALSE),"0")))</f>
        <v>1768</v>
      </c>
      <c r="W142" s="201">
        <f t="shared" si="99"/>
        <v>0</v>
      </c>
      <c r="X142" s="208">
        <f t="shared" si="115"/>
        <v>1758</v>
      </c>
      <c r="Y142" s="171" t="str">
        <f t="shared" si="101"/>
        <v>SUCCESS</v>
      </c>
      <c r="Z142" s="171" t="str">
        <f t="shared" si="102"/>
        <v>SUCCESS</v>
      </c>
      <c r="AA142" s="185">
        <f t="shared" si="103"/>
        <v>147.36301955641707</v>
      </c>
    </row>
    <row r="143" spans="1:27">
      <c r="A143" s="112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168</v>
      </c>
      <c r="B143" s="113">
        <f t="shared" si="94"/>
        <v>51860</v>
      </c>
      <c r="C143" s="118">
        <f t="shared" si="137"/>
        <v>353.17000000000013</v>
      </c>
      <c r="D143" s="181" t="s">
        <v>12</v>
      </c>
      <c r="E143" s="182">
        <f>IF(H142="AFIII",VLOOKUP($D143,Sheet1!$A$34:$K$48,5,FALSE),IF(H142="UBIII",VLOOKUP($D143,Sheet1!$A$34:$K$48,8,FALSE),VLOOKUP($D143,Sheet1!$A$34:$K$48,2,FALSE)))</f>
        <v>1.67</v>
      </c>
      <c r="F143" s="182">
        <f>ROUNDDOWN((IF(H142="AFIII",VLOOKUP($D143,Sheet1!$A$34:$K$48,5,FALSE),IF(H142="UBIII",VLOOKUP($D143,Sheet1!$A$34:$K$48,8,FALSE),VLOOKUP($D143,Sheet1!$A$34:$K$48,2,FALSE))))*0.85,2)</f>
        <v>1.41</v>
      </c>
      <c r="G143" s="182">
        <f t="shared" ref="G143:G161" si="145">IF(M142="迅速",IF(S142="黒魔紋",$F$1,$E$1),IF(S142="黒魔紋",IF(F143&lt;$F$1,$F$1,F143),IF(E143&lt;$E$1,$E$1,E143)))</f>
        <v>2.39</v>
      </c>
      <c r="H143" s="183" t="s">
        <v>122</v>
      </c>
      <c r="I143" s="182">
        <v>10</v>
      </c>
      <c r="K143" s="182">
        <f t="shared" si="144"/>
        <v>6.3900000000000006</v>
      </c>
      <c r="L143" s="182">
        <f t="shared" si="136"/>
        <v>47.06</v>
      </c>
      <c r="O143" s="182">
        <f t="shared" si="143"/>
        <v>7.0300000000000011</v>
      </c>
      <c r="Q143" s="182">
        <f t="shared" si="140"/>
        <v>-0.46999999999999886</v>
      </c>
      <c r="R143" s="182">
        <f t="shared" si="138"/>
        <v>22.78</v>
      </c>
      <c r="U143" s="184">
        <f t="shared" si="124"/>
        <v>2.1499999999999493</v>
      </c>
      <c r="V143" s="201">
        <f>IF(H142="AFIII",VLOOKUP(D143,Sheet1!$A$4:$H$18,5,FALSE),IF(H142="UBIII",VLOOKUP(D143,Sheet1!$A$4:$H$18,8,FALSE),IF(H142="",VLOOKUP(D143,Sheet1!$A$4:$H$18,2,FALSE),"0")))</f>
        <v>265</v>
      </c>
      <c r="W143" s="201">
        <f t="shared" si="99"/>
        <v>0</v>
      </c>
      <c r="X143" s="208">
        <f t="shared" si="115"/>
        <v>1493</v>
      </c>
      <c r="Y143" s="171" t="str">
        <f t="shared" si="101"/>
        <v>SUCCESS</v>
      </c>
      <c r="Z143" s="171" t="str">
        <f t="shared" si="102"/>
        <v>SUCCESS</v>
      </c>
      <c r="AA143" s="185">
        <f t="shared" si="103"/>
        <v>146.84146445054785</v>
      </c>
    </row>
    <row r="144" spans="1:27">
      <c r="A144" s="11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295</v>
      </c>
      <c r="B144" s="113">
        <f t="shared" si="94"/>
        <v>52155</v>
      </c>
      <c r="C144" s="118">
        <f t="shared" si="137"/>
        <v>356.03000000000014</v>
      </c>
      <c r="D144" s="181" t="s">
        <v>19</v>
      </c>
      <c r="E144" s="182">
        <f>IF(H143="AFIII",VLOOKUP($D144,Sheet1!$A$34:$K$48,5,FALSE),IF(H143="UBIII",VLOOKUP($D144,Sheet1!$A$34:$K$48,8,FALSE),VLOOKUP($D144,Sheet1!$A$34:$K$48,2,FALSE)))</f>
        <v>2.86</v>
      </c>
      <c r="F144" s="182">
        <f>ROUNDDOWN((IF(H143="AFIII",VLOOKUP($D144,Sheet1!$A$34:$K$48,5,FALSE),IF(H143="UBIII",VLOOKUP($D144,Sheet1!$A$34:$K$48,8,FALSE),VLOOKUP($D144,Sheet1!$A$34:$K$48,2,FALSE))))*0.85,2)</f>
        <v>2.4300000000000002</v>
      </c>
      <c r="G144" s="182">
        <f t="shared" si="145"/>
        <v>2.86</v>
      </c>
      <c r="H144" s="183" t="s">
        <v>122</v>
      </c>
      <c r="I144" s="182">
        <f t="shared" ref="I144:I145" si="146">I143-G144</f>
        <v>7.1400000000000006</v>
      </c>
      <c r="K144" s="182">
        <f t="shared" si="144"/>
        <v>3.5300000000000007</v>
      </c>
      <c r="L144" s="182">
        <f t="shared" si="136"/>
        <v>44.2</v>
      </c>
      <c r="O144" s="182">
        <f t="shared" si="143"/>
        <v>4.1700000000000017</v>
      </c>
      <c r="R144" s="182">
        <f t="shared" si="138"/>
        <v>19.920000000000002</v>
      </c>
      <c r="U144" s="184">
        <f t="shared" si="124"/>
        <v>-0.71000000000005059</v>
      </c>
      <c r="V144" s="201">
        <f>IF(H143="AFIII",VLOOKUP(D144,Sheet1!$A$4:$H$18,5,FALSE),IF(H143="UBIII",VLOOKUP(D144,Sheet1!$A$4:$H$18,8,FALSE),IF(H143="",VLOOKUP(D144,Sheet1!$A$4:$H$18,2,FALSE),"0")))</f>
        <v>1060</v>
      </c>
      <c r="W144" s="201">
        <f t="shared" si="99"/>
        <v>7033</v>
      </c>
      <c r="X144" s="208">
        <f t="shared" si="115"/>
        <v>7466</v>
      </c>
      <c r="Y144" s="171" t="str">
        <f t="shared" si="101"/>
        <v>SUCCESS</v>
      </c>
      <c r="Z144" s="171" t="str">
        <f t="shared" si="102"/>
        <v>SUCCESS</v>
      </c>
      <c r="AA144" s="185">
        <f t="shared" si="103"/>
        <v>146.49046428671735</v>
      </c>
    </row>
    <row r="145" spans="1:27">
      <c r="A145" s="119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280</v>
      </c>
      <c r="B145" s="120">
        <f t="shared" si="94"/>
        <v>52435</v>
      </c>
      <c r="C145" s="121">
        <f t="shared" si="137"/>
        <v>358.89000000000016</v>
      </c>
      <c r="D145" s="191" t="s">
        <v>14</v>
      </c>
      <c r="E145" s="192">
        <f>IF(H144="AFIII",VLOOKUP($D145,Sheet1!$A$34:$K$48,5,FALSE),IF(H144="UBIII",VLOOKUP($D145,Sheet1!$A$34:$K$48,8,FALSE),VLOOKUP($D145,Sheet1!$A$34:$K$48,2,FALSE)))</f>
        <v>2.86</v>
      </c>
      <c r="F145" s="192">
        <f>ROUNDDOWN((IF(H144="AFIII",VLOOKUP($D145,Sheet1!$A$34:$K$48,5,FALSE),IF(H144="UBIII",VLOOKUP($D145,Sheet1!$A$34:$K$48,8,FALSE),VLOOKUP($D145,Sheet1!$A$34:$K$48,2,FALSE))))*0.85,2)</f>
        <v>2.4300000000000002</v>
      </c>
      <c r="G145" s="192">
        <f t="shared" si="145"/>
        <v>2.86</v>
      </c>
      <c r="H145" s="193" t="s">
        <v>122</v>
      </c>
      <c r="I145" s="192">
        <f t="shared" si="146"/>
        <v>4.2800000000000011</v>
      </c>
      <c r="J145" s="193"/>
      <c r="K145" s="192">
        <v>20</v>
      </c>
      <c r="L145" s="192">
        <f t="shared" si="136"/>
        <v>41.34</v>
      </c>
      <c r="M145" s="193"/>
      <c r="N145" s="192"/>
      <c r="O145" s="192">
        <f t="shared" si="143"/>
        <v>1.3100000000000018</v>
      </c>
      <c r="P145" s="193"/>
      <c r="Q145" s="192"/>
      <c r="R145" s="192">
        <f t="shared" si="138"/>
        <v>17.060000000000002</v>
      </c>
      <c r="S145" s="193"/>
      <c r="T145" s="192"/>
      <c r="U145" s="194">
        <f t="shared" si="124"/>
        <v>-3.5700000000000505</v>
      </c>
      <c r="V145" s="211">
        <f>IF(H144="AFIII",VLOOKUP(D145,Sheet1!$A$4:$H$18,5,FALSE),IF(H144="UBIII",VLOOKUP(D145,Sheet1!$A$4:$H$18,8,FALSE),IF(H144="",VLOOKUP(D145,Sheet1!$A$4:$H$18,2,FALSE),"0")))</f>
        <v>884</v>
      </c>
      <c r="W145" s="211">
        <f t="shared" si="99"/>
        <v>7033</v>
      </c>
      <c r="X145" s="212">
        <f t="shared" si="115"/>
        <v>10508</v>
      </c>
      <c r="Y145" s="195" t="str">
        <f t="shared" si="101"/>
        <v>SUCCESS</v>
      </c>
      <c r="Z145" s="195" t="str">
        <f t="shared" si="102"/>
        <v>SUCCESS</v>
      </c>
      <c r="AA145" s="185">
        <f t="shared" si="103"/>
        <v>146.10326283819549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168</v>
      </c>
      <c r="B146" s="113">
        <f t="shared" ref="B146:B161" si="147">B145+A146</f>
        <v>52603</v>
      </c>
      <c r="C146" s="118">
        <f t="shared" si="137"/>
        <v>361.28000000000014</v>
      </c>
      <c r="D146" s="181" t="s">
        <v>4</v>
      </c>
      <c r="E146" s="182">
        <f>IF(H145="AFIII",VLOOKUP($D146,Sheet1!$A$34:$K$48,5,FALSE),IF(H145="UBIII",VLOOKUP($D146,Sheet1!$A$34:$K$48,8,FALSE),VLOOKUP($D146,Sheet1!$A$34:$K$48,2,FALSE)))</f>
        <v>1.67</v>
      </c>
      <c r="F146" s="182">
        <f>ROUNDDOWN((IF(H145="AFIII",VLOOKUP($D146,Sheet1!$A$34:$K$48,5,FALSE),IF(H145="UBIII",VLOOKUP($D146,Sheet1!$A$34:$K$48,8,FALSE),VLOOKUP($D146,Sheet1!$A$34:$K$48,2,FALSE))))*0.85,2)</f>
        <v>1.41</v>
      </c>
      <c r="G146" s="182">
        <f t="shared" si="145"/>
        <v>2.39</v>
      </c>
      <c r="H146" s="183" t="s">
        <v>84</v>
      </c>
      <c r="I146" s="182">
        <v>10</v>
      </c>
      <c r="K146" s="182">
        <f t="shared" ref="K146:K151" si="148">K145-G146</f>
        <v>17.61</v>
      </c>
      <c r="L146" s="182">
        <f t="shared" si="136"/>
        <v>38.950000000000003</v>
      </c>
      <c r="M146" s="183" t="s">
        <v>135</v>
      </c>
      <c r="O146" s="182">
        <f t="shared" si="143"/>
        <v>-1.0799999999999983</v>
      </c>
      <c r="R146" s="182">
        <f t="shared" si="138"/>
        <v>14.670000000000002</v>
      </c>
      <c r="S146" s="183" t="s">
        <v>87</v>
      </c>
      <c r="T146" s="182">
        <v>30</v>
      </c>
      <c r="U146" s="184">
        <v>90</v>
      </c>
      <c r="V146" s="201">
        <f>IF(H145="AFIII",VLOOKUP(D146,Sheet1!$A$4:$H$18,5,FALSE),IF(H145="UBIII",VLOOKUP(D146,Sheet1!$A$4:$H$18,8,FALSE),IF(H145="",VLOOKUP(D146,Sheet1!$A$4:$H$18,2,FALSE),"0")))</f>
        <v>442</v>
      </c>
      <c r="W146" s="201">
        <f t="shared" ref="W146:W161" si="149">IF(H145="UBIII",$X$2,0)</f>
        <v>7033</v>
      </c>
      <c r="X146" s="208">
        <f t="shared" si="115"/>
        <v>10950</v>
      </c>
      <c r="Y146" s="171" t="str">
        <f t="shared" ref="Y146:Y161" si="150">IF(X145-V146&lt;0,"ERROR","SUCCESS")</f>
        <v>SUCCESS</v>
      </c>
      <c r="Z146" s="171" t="str">
        <f t="shared" ref="Z146:Z161" si="151">IF(K145-G146&lt;0,"ERROR","SUCCESS")</f>
        <v>SUCCESS</v>
      </c>
      <c r="AA146" s="185">
        <f t="shared" ref="AA146:AA159" si="152">B146/C146</f>
        <v>145.60174933569525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504</v>
      </c>
      <c r="B147" s="113">
        <f t="shared" si="147"/>
        <v>53107</v>
      </c>
      <c r="C147" s="118">
        <f t="shared" si="137"/>
        <v>363.71000000000015</v>
      </c>
      <c r="D147" s="181" t="s">
        <v>6</v>
      </c>
      <c r="E147" s="182">
        <f>IF(H146="AFIII",VLOOKUP($D147,Sheet1!$A$34:$K$48,5,FALSE),IF(H146="UBIII",VLOOKUP($D147,Sheet1!$A$34:$K$48,8,FALSE),VLOOKUP($D147,Sheet1!$A$34:$K$48,2,FALSE)))</f>
        <v>2.86</v>
      </c>
      <c r="F147" s="182">
        <f>ROUNDDOWN((IF(H146="AFIII",VLOOKUP($D147,Sheet1!$A$34:$K$48,5,FALSE),IF(H146="UBIII",VLOOKUP($D147,Sheet1!$A$34:$K$48,8,FALSE),VLOOKUP($D147,Sheet1!$A$34:$K$48,2,FALSE))))*0.85,2)</f>
        <v>2.4300000000000002</v>
      </c>
      <c r="G147" s="182">
        <f t="shared" si="145"/>
        <v>2.4300000000000002</v>
      </c>
      <c r="H147" s="183" t="s">
        <v>84</v>
      </c>
      <c r="I147" s="182">
        <f t="shared" ref="I147:I148" si="153">I146-G147</f>
        <v>7.57</v>
      </c>
      <c r="K147" s="182">
        <f t="shared" si="148"/>
        <v>15.18</v>
      </c>
      <c r="L147" s="182">
        <f t="shared" si="136"/>
        <v>36.520000000000003</v>
      </c>
      <c r="O147" s="182">
        <f t="shared" si="143"/>
        <v>-3.5099999999999985</v>
      </c>
      <c r="R147" s="182">
        <f t="shared" si="138"/>
        <v>12.240000000000002</v>
      </c>
      <c r="S147" s="183" t="s">
        <v>87</v>
      </c>
      <c r="T147" s="182">
        <f t="shared" ref="T147:T159" si="154">T146-G147</f>
        <v>27.57</v>
      </c>
      <c r="U147" s="184">
        <f t="shared" ref="U147:U161" si="155">U146-G147</f>
        <v>87.57</v>
      </c>
      <c r="V147" s="201">
        <f>IF(H146="AFIII",VLOOKUP(D147,Sheet1!$A$4:$H$18,5,FALSE),IF(H146="UBIII",VLOOKUP(D147,Sheet1!$A$4:$H$18,8,FALSE),IF(H146="",VLOOKUP(D147,Sheet1!$A$4:$H$18,2,FALSE),"0")))</f>
        <v>1768</v>
      </c>
      <c r="W147" s="201">
        <f t="shared" si="149"/>
        <v>0</v>
      </c>
      <c r="X147" s="208">
        <f t="shared" si="115"/>
        <v>9182</v>
      </c>
      <c r="Y147" s="171" t="str">
        <f t="shared" si="150"/>
        <v>SUCCESS</v>
      </c>
      <c r="Z147" s="171" t="str">
        <f t="shared" si="151"/>
        <v>SUCCESS</v>
      </c>
      <c r="AA147" s="185">
        <f t="shared" si="152"/>
        <v>146.01468202688949</v>
      </c>
    </row>
    <row r="148" spans="1:27">
      <c r="A148" s="112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504</v>
      </c>
      <c r="B148" s="113">
        <f t="shared" si="147"/>
        <v>53611</v>
      </c>
      <c r="C148" s="118">
        <f t="shared" si="137"/>
        <v>366.14000000000016</v>
      </c>
      <c r="D148" s="181" t="s">
        <v>6</v>
      </c>
      <c r="E148" s="182">
        <f>IF(H147="AFIII",VLOOKUP($D148,Sheet1!$A$34:$K$48,5,FALSE),IF(H147="UBIII",VLOOKUP($D148,Sheet1!$A$34:$K$48,8,FALSE),VLOOKUP($D148,Sheet1!$A$34:$K$48,2,FALSE)))</f>
        <v>2.86</v>
      </c>
      <c r="F148" s="182">
        <f>ROUNDDOWN((IF(H147="AFIII",VLOOKUP($D148,Sheet1!$A$34:$K$48,5,FALSE),IF(H147="UBIII",VLOOKUP($D148,Sheet1!$A$34:$K$48,8,FALSE),VLOOKUP($D148,Sheet1!$A$34:$K$48,2,FALSE))))*0.85,2)</f>
        <v>2.4300000000000002</v>
      </c>
      <c r="G148" s="182">
        <f t="shared" si="145"/>
        <v>2.4300000000000002</v>
      </c>
      <c r="H148" s="183" t="s">
        <v>84</v>
      </c>
      <c r="I148" s="182">
        <f t="shared" si="153"/>
        <v>5.1400000000000006</v>
      </c>
      <c r="K148" s="182">
        <f t="shared" si="148"/>
        <v>12.75</v>
      </c>
      <c r="L148" s="182">
        <f t="shared" si="136"/>
        <v>34.090000000000003</v>
      </c>
      <c r="R148" s="182">
        <f t="shared" si="138"/>
        <v>9.8100000000000023</v>
      </c>
      <c r="S148" s="183" t="s">
        <v>87</v>
      </c>
      <c r="T148" s="182">
        <f t="shared" si="154"/>
        <v>25.14</v>
      </c>
      <c r="U148" s="184">
        <f t="shared" si="155"/>
        <v>85.139999999999986</v>
      </c>
      <c r="V148" s="201">
        <f>IF(H147="AFIII",VLOOKUP(D148,Sheet1!$A$4:$H$18,5,FALSE),IF(H147="UBIII",VLOOKUP(D148,Sheet1!$A$4:$H$18,8,FALSE),IF(H147="",VLOOKUP(D148,Sheet1!$A$4:$H$18,2,FALSE),"0")))</f>
        <v>1768</v>
      </c>
      <c r="W148" s="201">
        <f t="shared" si="149"/>
        <v>0</v>
      </c>
      <c r="X148" s="208">
        <f t="shared" si="115"/>
        <v>7414</v>
      </c>
      <c r="Y148" s="171" t="str">
        <f t="shared" si="150"/>
        <v>SUCCESS</v>
      </c>
      <c r="Z148" s="171" t="str">
        <f t="shared" si="151"/>
        <v>SUCCESS</v>
      </c>
      <c r="AA148" s="185">
        <f t="shared" si="152"/>
        <v>146.42213361009445</v>
      </c>
    </row>
    <row r="149" spans="1:27">
      <c r="A149" s="112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324</v>
      </c>
      <c r="B149" s="113">
        <f t="shared" si="147"/>
        <v>53935</v>
      </c>
      <c r="C149" s="118">
        <f t="shared" si="137"/>
        <v>368.17000000000013</v>
      </c>
      <c r="D149" s="181" t="s">
        <v>1</v>
      </c>
      <c r="E149" s="182">
        <f>IF(H148="AFIII",VLOOKUP($D149,Sheet1!$A$34:$K$48,5,FALSE),IF(H148="UBIII",VLOOKUP($D149,Sheet1!$A$34:$K$48,8,FALSE),VLOOKUP($D149,Sheet1!$A$34:$K$48,2,FALSE)))</f>
        <v>2.39</v>
      </c>
      <c r="F149" s="182">
        <f>ROUNDDOWN((IF(H148="AFIII",VLOOKUP($D149,Sheet1!$A$34:$K$48,5,FALSE),IF(H148="UBIII",VLOOKUP($D149,Sheet1!$A$34:$K$48,8,FALSE),VLOOKUP($D149,Sheet1!$A$34:$K$48,2,FALSE))))*0.85,2)</f>
        <v>2.0299999999999998</v>
      </c>
      <c r="G149" s="182">
        <f t="shared" si="145"/>
        <v>2.0299999999999998</v>
      </c>
      <c r="H149" s="183" t="s">
        <v>84</v>
      </c>
      <c r="I149" s="182">
        <v>10</v>
      </c>
      <c r="K149" s="182">
        <f t="shared" si="148"/>
        <v>10.72</v>
      </c>
      <c r="L149" s="182">
        <f t="shared" si="136"/>
        <v>32.06</v>
      </c>
      <c r="R149" s="182">
        <f t="shared" si="138"/>
        <v>7.7800000000000029</v>
      </c>
      <c r="S149" s="183" t="s">
        <v>87</v>
      </c>
      <c r="T149" s="182">
        <f t="shared" si="154"/>
        <v>23.11</v>
      </c>
      <c r="U149" s="184">
        <f t="shared" si="155"/>
        <v>83.109999999999985</v>
      </c>
      <c r="V149" s="201">
        <f>IF(H148="AFIII",VLOOKUP(D149,Sheet1!$A$4:$H$18,5,FALSE),IF(H148="UBIII",VLOOKUP(D149,Sheet1!$A$4:$H$18,8,FALSE),IF(H148="",VLOOKUP(D149,Sheet1!$A$4:$H$18,2,FALSE),"0")))</f>
        <v>2120</v>
      </c>
      <c r="W149" s="201">
        <f t="shared" si="149"/>
        <v>0</v>
      </c>
      <c r="X149" s="208">
        <f t="shared" si="115"/>
        <v>5294</v>
      </c>
      <c r="Y149" s="171" t="str">
        <f t="shared" si="150"/>
        <v>SUCCESS</v>
      </c>
      <c r="Z149" s="171" t="str">
        <f t="shared" si="151"/>
        <v>SUCCESS</v>
      </c>
      <c r="AA149" s="185">
        <f t="shared" si="152"/>
        <v>146.49482575983916</v>
      </c>
    </row>
    <row r="150" spans="1:27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504</v>
      </c>
      <c r="B150" s="113">
        <f t="shared" si="147"/>
        <v>54439</v>
      </c>
      <c r="C150" s="118">
        <f t="shared" si="137"/>
        <v>370.60000000000014</v>
      </c>
      <c r="D150" s="181" t="s">
        <v>6</v>
      </c>
      <c r="E150" s="182">
        <f>IF(H149="AFIII",VLOOKUP($D150,Sheet1!$A$34:$K$48,5,FALSE),IF(H149="UBIII",VLOOKUP($D150,Sheet1!$A$34:$K$48,8,FALSE),VLOOKUP($D150,Sheet1!$A$34:$K$48,2,FALSE)))</f>
        <v>2.86</v>
      </c>
      <c r="F150" s="182">
        <f>ROUNDDOWN((IF(H149="AFIII",VLOOKUP($D150,Sheet1!$A$34:$K$48,5,FALSE),IF(H149="UBIII",VLOOKUP($D150,Sheet1!$A$34:$K$48,8,FALSE),VLOOKUP($D150,Sheet1!$A$34:$K$48,2,FALSE))))*0.85,2)</f>
        <v>2.4300000000000002</v>
      </c>
      <c r="G150" s="182">
        <f t="shared" si="145"/>
        <v>2.4300000000000002</v>
      </c>
      <c r="H150" s="183" t="s">
        <v>84</v>
      </c>
      <c r="I150" s="182">
        <f t="shared" ref="I150:I151" si="156">I149-G150</f>
        <v>7.57</v>
      </c>
      <c r="K150" s="182">
        <f t="shared" si="148"/>
        <v>8.2900000000000009</v>
      </c>
      <c r="L150" s="182">
        <f t="shared" si="136"/>
        <v>29.630000000000003</v>
      </c>
      <c r="R150" s="182">
        <f>R149-G150</f>
        <v>5.3500000000000032</v>
      </c>
      <c r="S150" s="183" t="s">
        <v>87</v>
      </c>
      <c r="T150" s="182">
        <f t="shared" si="154"/>
        <v>20.68</v>
      </c>
      <c r="U150" s="184">
        <f t="shared" si="155"/>
        <v>80.679999999999978</v>
      </c>
      <c r="V150" s="201">
        <f>IF(H149="AFIII",VLOOKUP(D150,Sheet1!$A$4:$H$18,5,FALSE),IF(H149="UBIII",VLOOKUP(D150,Sheet1!$A$4:$H$18,8,FALSE),IF(H149="",VLOOKUP(D150,Sheet1!$A$4:$H$18,2,FALSE),"0")))</f>
        <v>1768</v>
      </c>
      <c r="W150" s="201">
        <f t="shared" si="149"/>
        <v>0</v>
      </c>
      <c r="X150" s="208">
        <f t="shared" si="115"/>
        <v>3526</v>
      </c>
      <c r="Y150" s="171" t="str">
        <f t="shared" si="150"/>
        <v>SUCCESS</v>
      </c>
      <c r="Z150" s="171" t="str">
        <f t="shared" si="151"/>
        <v>SUCCESS</v>
      </c>
      <c r="AA150" s="185">
        <f t="shared" si="152"/>
        <v>146.89422558014027</v>
      </c>
    </row>
    <row r="151" spans="1:27">
      <c r="A151" s="112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504</v>
      </c>
      <c r="B151" s="113">
        <f t="shared" si="147"/>
        <v>54943</v>
      </c>
      <c r="C151" s="118">
        <f t="shared" si="137"/>
        <v>373.03000000000014</v>
      </c>
      <c r="D151" s="181" t="s">
        <v>6</v>
      </c>
      <c r="E151" s="182">
        <f>IF(H150="AFIII",VLOOKUP($D151,Sheet1!$A$34:$K$48,5,FALSE),IF(H150="UBIII",VLOOKUP($D151,Sheet1!$A$34:$K$48,8,FALSE),VLOOKUP($D151,Sheet1!$A$34:$K$48,2,FALSE)))</f>
        <v>2.86</v>
      </c>
      <c r="F151" s="182">
        <f>ROUNDDOWN((IF(H150="AFIII",VLOOKUP($D151,Sheet1!$A$34:$K$48,5,FALSE),IF(H150="UBIII",VLOOKUP($D151,Sheet1!$A$34:$K$48,8,FALSE),VLOOKUP($D151,Sheet1!$A$34:$K$48,2,FALSE))))*0.85,2)</f>
        <v>2.4300000000000002</v>
      </c>
      <c r="G151" s="182">
        <f t="shared" si="145"/>
        <v>2.4300000000000002</v>
      </c>
      <c r="H151" s="183" t="s">
        <v>84</v>
      </c>
      <c r="I151" s="182">
        <f t="shared" si="156"/>
        <v>5.1400000000000006</v>
      </c>
      <c r="K151" s="182">
        <f t="shared" si="148"/>
        <v>5.8600000000000012</v>
      </c>
      <c r="L151" s="182">
        <f t="shared" si="136"/>
        <v>27.200000000000003</v>
      </c>
      <c r="R151" s="182">
        <f t="shared" ref="R151:R153" si="157">R150-G151</f>
        <v>2.920000000000003</v>
      </c>
      <c r="S151" s="183" t="s">
        <v>87</v>
      </c>
      <c r="T151" s="182">
        <f t="shared" si="154"/>
        <v>18.25</v>
      </c>
      <c r="U151" s="184">
        <f t="shared" si="155"/>
        <v>78.249999999999972</v>
      </c>
      <c r="V151" s="201">
        <f>IF(H150="AFIII",VLOOKUP(D151,Sheet1!$A$4:$H$18,5,FALSE),IF(H150="UBIII",VLOOKUP(D151,Sheet1!$A$4:$H$18,8,FALSE),IF(H150="",VLOOKUP(D151,Sheet1!$A$4:$H$18,2,FALSE),"0")))</f>
        <v>1768</v>
      </c>
      <c r="W151" s="201">
        <f t="shared" si="149"/>
        <v>0</v>
      </c>
      <c r="X151" s="208">
        <f t="shared" si="115"/>
        <v>1758</v>
      </c>
      <c r="Y151" s="171" t="str">
        <f t="shared" si="150"/>
        <v>SUCCESS</v>
      </c>
      <c r="Z151" s="171" t="str">
        <f t="shared" si="151"/>
        <v>SUCCESS</v>
      </c>
      <c r="AA151" s="185">
        <f t="shared" si="152"/>
        <v>147.28842184274717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168</v>
      </c>
      <c r="B152" s="113">
        <f t="shared" si="147"/>
        <v>55111</v>
      </c>
      <c r="C152" s="118">
        <f t="shared" si="137"/>
        <v>375.06000000000012</v>
      </c>
      <c r="D152" s="181" t="s">
        <v>12</v>
      </c>
      <c r="E152" s="182">
        <f>IF(H151="AFIII",VLOOKUP($D152,Sheet1!$A$34:$K$48,5,FALSE),IF(H151="UBIII",VLOOKUP($D152,Sheet1!$A$34:$K$48,8,FALSE),VLOOKUP($D152,Sheet1!$A$34:$K$48,2,FALSE)))</f>
        <v>1.67</v>
      </c>
      <c r="F152" s="182">
        <f>ROUNDDOWN((IF(H151="AFIII",VLOOKUP($D152,Sheet1!$A$34:$K$48,5,FALSE),IF(H151="UBIII",VLOOKUP($D152,Sheet1!$A$34:$K$48,8,FALSE),VLOOKUP($D152,Sheet1!$A$34:$K$48,2,FALSE))))*0.85,2)</f>
        <v>1.41</v>
      </c>
      <c r="G152" s="182">
        <f t="shared" si="145"/>
        <v>2.0299999999999998</v>
      </c>
      <c r="H152" s="183" t="s">
        <v>122</v>
      </c>
      <c r="I152" s="182">
        <v>10</v>
      </c>
      <c r="K152" s="182">
        <f>K151-G152</f>
        <v>3.8300000000000014</v>
      </c>
      <c r="L152" s="182">
        <f t="shared" si="136"/>
        <v>25.17</v>
      </c>
      <c r="P152" s="183" t="s">
        <v>136</v>
      </c>
      <c r="R152" s="182">
        <f t="shared" si="157"/>
        <v>0.89000000000000323</v>
      </c>
      <c r="S152" s="183" t="s">
        <v>87</v>
      </c>
      <c r="T152" s="182">
        <f t="shared" si="154"/>
        <v>16.22</v>
      </c>
      <c r="U152" s="184">
        <f t="shared" si="155"/>
        <v>76.21999999999997</v>
      </c>
      <c r="V152" s="201">
        <f>IF(H151="AFIII",VLOOKUP(D152,Sheet1!$A$4:$H$18,5,FALSE),IF(H151="UBIII",VLOOKUP(D152,Sheet1!$A$4:$H$18,8,FALSE),IF(H151="",VLOOKUP(D152,Sheet1!$A$4:$H$18,2,FALSE),"0")))</f>
        <v>265</v>
      </c>
      <c r="W152" s="201">
        <f t="shared" si="149"/>
        <v>0</v>
      </c>
      <c r="X152" s="208">
        <f t="shared" si="115"/>
        <v>1493</v>
      </c>
      <c r="Y152" s="171" t="str">
        <f t="shared" si="150"/>
        <v>SUCCESS</v>
      </c>
      <c r="Z152" s="171" t="str">
        <f t="shared" si="151"/>
        <v>SUCCESS</v>
      </c>
      <c r="AA152" s="185">
        <f t="shared" si="152"/>
        <v>146.93915640164235</v>
      </c>
    </row>
    <row r="153" spans="1:27">
      <c r="A153" s="119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280</v>
      </c>
      <c r="B153" s="120">
        <f t="shared" si="147"/>
        <v>55391</v>
      </c>
      <c r="C153" s="121">
        <f t="shared" si="137"/>
        <v>377.49000000000012</v>
      </c>
      <c r="D153" s="191" t="s">
        <v>14</v>
      </c>
      <c r="E153" s="192">
        <f>IF(H152="AFIII",VLOOKUP($D153,Sheet1!$A$34:$K$48,5,FALSE),IF(H152="UBIII",VLOOKUP($D153,Sheet1!$A$34:$K$48,8,FALSE),VLOOKUP($D153,Sheet1!$A$34:$K$48,2,FALSE)))</f>
        <v>2.86</v>
      </c>
      <c r="F153" s="192">
        <f>ROUNDDOWN((IF(H152="AFIII",VLOOKUP($D153,Sheet1!$A$34:$K$48,5,FALSE),IF(H152="UBIII",VLOOKUP($D153,Sheet1!$A$34:$K$48,8,FALSE),VLOOKUP($D153,Sheet1!$A$34:$K$48,2,FALSE))))*0.85,2)</f>
        <v>2.4300000000000002</v>
      </c>
      <c r="G153" s="192">
        <f t="shared" si="145"/>
        <v>2.4300000000000002</v>
      </c>
      <c r="H153" s="193" t="s">
        <v>122</v>
      </c>
      <c r="I153" s="192">
        <f t="shared" ref="I153" si="158">I152-G153</f>
        <v>7.57</v>
      </c>
      <c r="J153" s="193"/>
      <c r="K153" s="192">
        <v>15</v>
      </c>
      <c r="L153" s="192">
        <f t="shared" si="136"/>
        <v>22.740000000000002</v>
      </c>
      <c r="M153" s="193"/>
      <c r="N153" s="192"/>
      <c r="O153" s="192"/>
      <c r="P153" s="193"/>
      <c r="Q153" s="192"/>
      <c r="R153" s="192">
        <f t="shared" si="157"/>
        <v>-1.5399999999999969</v>
      </c>
      <c r="S153" s="193" t="s">
        <v>87</v>
      </c>
      <c r="T153" s="192">
        <f t="shared" si="154"/>
        <v>13.79</v>
      </c>
      <c r="U153" s="194">
        <f t="shared" si="155"/>
        <v>73.789999999999964</v>
      </c>
      <c r="V153" s="211">
        <f>IF(H152="AFIII",VLOOKUP(D153,Sheet1!$A$4:$H$18,5,FALSE),IF(H152="UBIII",VLOOKUP(D153,Sheet1!$A$4:$H$18,8,FALSE),IF(H152="",VLOOKUP(D153,Sheet1!$A$4:$H$18,2,FALSE),"0")))</f>
        <v>884</v>
      </c>
      <c r="W153" s="211">
        <f t="shared" si="149"/>
        <v>7033</v>
      </c>
      <c r="X153" s="212">
        <f t="shared" si="115"/>
        <v>7642</v>
      </c>
      <c r="Y153" s="195" t="str">
        <f t="shared" si="150"/>
        <v>SUCCESS</v>
      </c>
      <c r="Z153" s="195" t="str">
        <f t="shared" si="151"/>
        <v>SUCCESS</v>
      </c>
      <c r="AA153" s="185">
        <f t="shared" si="152"/>
        <v>146.73501284802242</v>
      </c>
    </row>
    <row r="154" spans="1:27">
      <c r="A154" s="112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168</v>
      </c>
      <c r="B154" s="113">
        <f t="shared" si="147"/>
        <v>55559</v>
      </c>
      <c r="C154" s="118">
        <f t="shared" si="137"/>
        <v>379.5200000000001</v>
      </c>
      <c r="D154" s="181" t="s">
        <v>4</v>
      </c>
      <c r="E154" s="182">
        <f>IF(H153="AFIII",VLOOKUP($D154,Sheet1!$A$34:$K$48,5,FALSE),IF(H153="UBIII",VLOOKUP($D154,Sheet1!$A$34:$K$48,8,FALSE),VLOOKUP($D154,Sheet1!$A$34:$K$48,2,FALSE)))</f>
        <v>1.67</v>
      </c>
      <c r="F154" s="182">
        <f>ROUNDDOWN((IF(H153="AFIII",VLOOKUP($D154,Sheet1!$A$34:$K$48,5,FALSE),IF(H153="UBIII",VLOOKUP($D154,Sheet1!$A$34:$K$48,8,FALSE),VLOOKUP($D154,Sheet1!$A$34:$K$48,2,FALSE))))*0.85,2)</f>
        <v>1.41</v>
      </c>
      <c r="G154" s="182">
        <f t="shared" si="145"/>
        <v>2.0299999999999998</v>
      </c>
      <c r="H154" s="183" t="s">
        <v>84</v>
      </c>
      <c r="I154" s="182">
        <v>10</v>
      </c>
      <c r="K154" s="182">
        <f t="shared" ref="K154:K160" si="159">K153-G154</f>
        <v>12.97</v>
      </c>
      <c r="L154" s="182">
        <f t="shared" si="136"/>
        <v>20.71</v>
      </c>
      <c r="S154" s="183" t="s">
        <v>87</v>
      </c>
      <c r="T154" s="182">
        <f t="shared" si="154"/>
        <v>11.76</v>
      </c>
      <c r="U154" s="184">
        <f t="shared" si="155"/>
        <v>71.759999999999962</v>
      </c>
      <c r="V154" s="201">
        <f>IF(H153="AFIII",VLOOKUP(D154,Sheet1!$A$4:$H$18,5,FALSE),IF(H153="UBIII",VLOOKUP(D154,Sheet1!$A$4:$H$18,8,FALSE),IF(H153="",VLOOKUP(D154,Sheet1!$A$4:$H$18,2,FALSE),"0")))</f>
        <v>442</v>
      </c>
      <c r="W154" s="201">
        <f t="shared" si="149"/>
        <v>7033</v>
      </c>
      <c r="X154" s="208">
        <f t="shared" si="115"/>
        <v>10950</v>
      </c>
      <c r="Y154" s="171" t="str">
        <f t="shared" si="150"/>
        <v>SUCCESS</v>
      </c>
      <c r="Z154" s="171" t="str">
        <f t="shared" si="151"/>
        <v>SUCCESS</v>
      </c>
      <c r="AA154" s="185">
        <f t="shared" si="152"/>
        <v>146.39281197301852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504</v>
      </c>
      <c r="B155" s="113">
        <f t="shared" si="147"/>
        <v>56063</v>
      </c>
      <c r="C155" s="118">
        <f t="shared" si="137"/>
        <v>381.9500000000001</v>
      </c>
      <c r="D155" s="181" t="s">
        <v>6</v>
      </c>
      <c r="E155" s="182">
        <f>IF(H154="AFIII",VLOOKUP($D155,Sheet1!$A$34:$K$48,5,FALSE),IF(H154="UBIII",VLOOKUP($D155,Sheet1!$A$34:$K$48,8,FALSE),VLOOKUP($D155,Sheet1!$A$34:$K$48,2,FALSE)))</f>
        <v>2.86</v>
      </c>
      <c r="F155" s="182">
        <f>ROUNDDOWN((IF(H154="AFIII",VLOOKUP($D155,Sheet1!$A$34:$K$48,5,FALSE),IF(H154="UBIII",VLOOKUP($D155,Sheet1!$A$34:$K$48,8,FALSE),VLOOKUP($D155,Sheet1!$A$34:$K$48,2,FALSE))))*0.85,2)</f>
        <v>2.4300000000000002</v>
      </c>
      <c r="G155" s="182">
        <f t="shared" si="145"/>
        <v>2.4300000000000002</v>
      </c>
      <c r="H155" s="183" t="s">
        <v>84</v>
      </c>
      <c r="I155" s="182">
        <f t="shared" ref="I155:I156" si="160">I154-G155</f>
        <v>7.57</v>
      </c>
      <c r="K155" s="182">
        <f t="shared" si="159"/>
        <v>10.540000000000001</v>
      </c>
      <c r="L155" s="182">
        <f t="shared" si="136"/>
        <v>18.28</v>
      </c>
      <c r="S155" s="183" t="s">
        <v>87</v>
      </c>
      <c r="T155" s="182">
        <f t="shared" si="154"/>
        <v>9.33</v>
      </c>
      <c r="U155" s="184">
        <f t="shared" si="155"/>
        <v>69.329999999999956</v>
      </c>
      <c r="V155" s="201">
        <f>IF(H154="AFIII",VLOOKUP(D155,Sheet1!$A$4:$H$18,5,FALSE),IF(H154="UBIII",VLOOKUP(D155,Sheet1!$A$4:$H$18,8,FALSE),IF(H154="",VLOOKUP(D155,Sheet1!$A$4:$H$18,2,FALSE),"0")))</f>
        <v>1768</v>
      </c>
      <c r="W155" s="201">
        <f t="shared" si="149"/>
        <v>0</v>
      </c>
      <c r="X155" s="208">
        <f t="shared" si="115"/>
        <v>9182</v>
      </c>
      <c r="Y155" s="171" t="str">
        <f t="shared" si="150"/>
        <v>SUCCESS</v>
      </c>
      <c r="Z155" s="171" t="str">
        <f t="shared" si="151"/>
        <v>SUCCESS</v>
      </c>
      <c r="AA155" s="185">
        <f t="shared" si="152"/>
        <v>146.78099227647593</v>
      </c>
    </row>
    <row r="156" spans="1:27">
      <c r="A156" s="112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504</v>
      </c>
      <c r="B156" s="113">
        <f t="shared" si="147"/>
        <v>56567</v>
      </c>
      <c r="C156" s="118">
        <f t="shared" si="137"/>
        <v>384.38000000000011</v>
      </c>
      <c r="D156" s="181" t="s">
        <v>6</v>
      </c>
      <c r="E156" s="182">
        <f>IF(H155="AFIII",VLOOKUP($D156,Sheet1!$A$34:$K$48,5,FALSE),IF(H155="UBIII",VLOOKUP($D156,Sheet1!$A$34:$K$48,8,FALSE),VLOOKUP($D156,Sheet1!$A$34:$K$48,2,FALSE)))</f>
        <v>2.86</v>
      </c>
      <c r="F156" s="182">
        <f>ROUNDDOWN((IF(H155="AFIII",VLOOKUP($D156,Sheet1!$A$34:$K$48,5,FALSE),IF(H155="UBIII",VLOOKUP($D156,Sheet1!$A$34:$K$48,8,FALSE),VLOOKUP($D156,Sheet1!$A$34:$K$48,2,FALSE))))*0.85,2)</f>
        <v>2.4300000000000002</v>
      </c>
      <c r="G156" s="182">
        <f t="shared" si="145"/>
        <v>2.4300000000000002</v>
      </c>
      <c r="H156" s="183" t="s">
        <v>84</v>
      </c>
      <c r="I156" s="182">
        <f t="shared" si="160"/>
        <v>5.1400000000000006</v>
      </c>
      <c r="K156" s="182">
        <f t="shared" si="159"/>
        <v>8.1100000000000012</v>
      </c>
      <c r="L156" s="182">
        <f t="shared" si="136"/>
        <v>15.850000000000001</v>
      </c>
      <c r="S156" s="183" t="s">
        <v>87</v>
      </c>
      <c r="T156" s="182">
        <f t="shared" si="154"/>
        <v>6.9</v>
      </c>
      <c r="U156" s="184">
        <f t="shared" si="155"/>
        <v>66.899999999999949</v>
      </c>
      <c r="V156" s="201">
        <f>IF(H155="AFIII",VLOOKUP(D156,Sheet1!$A$4:$H$18,5,FALSE),IF(H155="UBIII",VLOOKUP(D156,Sheet1!$A$4:$H$18,8,FALSE),IF(H155="",VLOOKUP(D156,Sheet1!$A$4:$H$18,2,FALSE),"0")))</f>
        <v>1768</v>
      </c>
      <c r="W156" s="201">
        <f t="shared" si="149"/>
        <v>0</v>
      </c>
      <c r="X156" s="208">
        <f t="shared" si="115"/>
        <v>7414</v>
      </c>
      <c r="Y156" s="171" t="str">
        <f t="shared" si="150"/>
        <v>SUCCESS</v>
      </c>
      <c r="Z156" s="171" t="str">
        <f t="shared" si="151"/>
        <v>SUCCESS</v>
      </c>
      <c r="AA156" s="185">
        <f t="shared" si="152"/>
        <v>147.16426452989225</v>
      </c>
    </row>
    <row r="157" spans="1:27">
      <c r="A157" s="112">
        <f>ROUNDDOWN(IF(N156-G157&gt;0,(IF(H156="AFIII",VLOOKUP(D157,Sheet1!$K$4:$S$19,5,FALSE),IF(H156="UBIII",VLOOKUP(D157,Sheet1!$K$4:$S$19,8,FALSE),VLOOKUP(D157,Sheet1!$K$4:$S$19,2,FALSE)))*1.2),IF(H156="AFIII",VLOOKUP(D157,Sheet1!$K$4:$S$19,5,FALSE),IF(H156="UBIII",VLOOKUP(D157,Sheet1!$K$4:$S$19,8,FALSE),VLOOKUP(D157,Sheet1!$K$4:$S$19,2,FALSE)))),0)</f>
        <v>324</v>
      </c>
      <c r="B157" s="113">
        <f t="shared" si="147"/>
        <v>56891</v>
      </c>
      <c r="C157" s="118">
        <f t="shared" si="137"/>
        <v>386.41000000000008</v>
      </c>
      <c r="D157" s="181" t="s">
        <v>1</v>
      </c>
      <c r="E157" s="182">
        <f>IF(H156="AFIII",VLOOKUP($D157,Sheet1!$A$34:$K$48,5,FALSE),IF(H156="UBIII",VLOOKUP($D157,Sheet1!$A$34:$K$48,8,FALSE),VLOOKUP($D157,Sheet1!$A$34:$K$48,2,FALSE)))</f>
        <v>2.39</v>
      </c>
      <c r="F157" s="182">
        <f>ROUNDDOWN((IF(H156="AFIII",VLOOKUP($D157,Sheet1!$A$34:$K$48,5,FALSE),IF(H156="UBIII",VLOOKUP($D157,Sheet1!$A$34:$K$48,8,FALSE),VLOOKUP($D157,Sheet1!$A$34:$K$48,2,FALSE))))*0.85,2)</f>
        <v>2.0299999999999998</v>
      </c>
      <c r="G157" s="182">
        <f t="shared" si="145"/>
        <v>2.0299999999999998</v>
      </c>
      <c r="H157" s="183" t="s">
        <v>84</v>
      </c>
      <c r="I157" s="182">
        <v>10</v>
      </c>
      <c r="K157" s="182">
        <f t="shared" si="159"/>
        <v>6.0800000000000018</v>
      </c>
      <c r="L157" s="182">
        <f t="shared" si="136"/>
        <v>13.820000000000002</v>
      </c>
      <c r="S157" s="183" t="s">
        <v>87</v>
      </c>
      <c r="T157" s="182">
        <f t="shared" si="154"/>
        <v>4.870000000000001</v>
      </c>
      <c r="U157" s="184">
        <f t="shared" si="155"/>
        <v>64.869999999999948</v>
      </c>
      <c r="V157" s="201">
        <f>IF(H156="AFIII",VLOOKUP(D157,Sheet1!$A$4:$H$18,5,FALSE),IF(H156="UBIII",VLOOKUP(D157,Sheet1!$A$4:$H$18,8,FALSE),IF(H156="",VLOOKUP(D157,Sheet1!$A$4:$H$18,2,FALSE),"0")))</f>
        <v>2120</v>
      </c>
      <c r="W157" s="201">
        <f t="shared" si="149"/>
        <v>0</v>
      </c>
      <c r="X157" s="208">
        <f t="shared" si="115"/>
        <v>5294</v>
      </c>
      <c r="Y157" s="171" t="str">
        <f t="shared" si="150"/>
        <v>SUCCESS</v>
      </c>
      <c r="Z157" s="171" t="str">
        <f t="shared" si="151"/>
        <v>SUCCESS</v>
      </c>
      <c r="AA157" s="185">
        <f t="shared" si="152"/>
        <v>147.22962656245954</v>
      </c>
    </row>
    <row r="158" spans="1:27">
      <c r="A158" s="112">
        <f>ROUNDDOWN(IF(N157-G158&gt;0,(IF(H157="AFIII",VLOOKUP(D158,Sheet1!$K$4:$S$19,5,FALSE),IF(H157="UBIII",VLOOKUP(D158,Sheet1!$K$4:$S$19,8,FALSE),VLOOKUP(D158,Sheet1!$K$4:$S$19,2,FALSE)))*1.2),IF(H157="AFIII",VLOOKUP(D158,Sheet1!$K$4:$S$19,5,FALSE),IF(H157="UBIII",VLOOKUP(D158,Sheet1!$K$4:$S$19,8,FALSE),VLOOKUP(D158,Sheet1!$K$4:$S$19,2,FALSE)))),0)</f>
        <v>504</v>
      </c>
      <c r="B158" s="113">
        <f t="shared" si="147"/>
        <v>57395</v>
      </c>
      <c r="C158" s="118">
        <f t="shared" si="137"/>
        <v>388.84000000000009</v>
      </c>
      <c r="D158" s="181" t="s">
        <v>6</v>
      </c>
      <c r="E158" s="182">
        <f>IF(H157="AFIII",VLOOKUP($D158,Sheet1!$A$34:$K$48,5,FALSE),IF(H157="UBIII",VLOOKUP($D158,Sheet1!$A$34:$K$48,8,FALSE),VLOOKUP($D158,Sheet1!$A$34:$K$48,2,FALSE)))</f>
        <v>2.86</v>
      </c>
      <c r="F158" s="182">
        <f>ROUNDDOWN((IF(H157="AFIII",VLOOKUP($D158,Sheet1!$A$34:$K$48,5,FALSE),IF(H157="UBIII",VLOOKUP($D158,Sheet1!$A$34:$K$48,8,FALSE),VLOOKUP($D158,Sheet1!$A$34:$K$48,2,FALSE))))*0.85,2)</f>
        <v>2.4300000000000002</v>
      </c>
      <c r="G158" s="182">
        <f t="shared" si="145"/>
        <v>2.4300000000000002</v>
      </c>
      <c r="H158" s="183" t="s">
        <v>84</v>
      </c>
      <c r="I158" s="182">
        <f t="shared" ref="I158" si="161">I157-G158</f>
        <v>7.57</v>
      </c>
      <c r="K158" s="182">
        <f t="shared" si="159"/>
        <v>3.6500000000000017</v>
      </c>
      <c r="L158" s="182">
        <f t="shared" si="136"/>
        <v>11.390000000000002</v>
      </c>
      <c r="S158" s="183" t="s">
        <v>87</v>
      </c>
      <c r="T158" s="182">
        <f t="shared" si="154"/>
        <v>2.4400000000000008</v>
      </c>
      <c r="U158" s="184">
        <f t="shared" si="155"/>
        <v>62.439999999999948</v>
      </c>
      <c r="V158" s="201">
        <f>IF(H157="AFIII",VLOOKUP(D158,Sheet1!$A$4:$H$18,5,FALSE),IF(H157="UBIII",VLOOKUP(D158,Sheet1!$A$4:$H$18,8,FALSE),IF(H157="",VLOOKUP(D158,Sheet1!$A$4:$H$18,2,FALSE),"0")))</f>
        <v>1768</v>
      </c>
      <c r="W158" s="201">
        <f t="shared" si="149"/>
        <v>0</v>
      </c>
      <c r="X158" s="208">
        <f t="shared" si="115"/>
        <v>3526</v>
      </c>
      <c r="Y158" s="171" t="str">
        <f t="shared" si="150"/>
        <v>SUCCESS</v>
      </c>
      <c r="Z158" s="171" t="str">
        <f t="shared" si="151"/>
        <v>SUCCESS</v>
      </c>
      <c r="AA158" s="185">
        <f t="shared" si="152"/>
        <v>147.60569900216024</v>
      </c>
    </row>
    <row r="159" spans="1:27">
      <c r="A159" s="112">
        <f>ROUNDDOWN(IF(N158-G159&gt;0,(IF(H158="AFIII",VLOOKUP(D159,Sheet1!$K$4:$S$19,5,FALSE),IF(H158="UBIII",VLOOKUP(D159,Sheet1!$K$4:$S$19,8,FALSE),VLOOKUP(D159,Sheet1!$K$4:$S$19,2,FALSE)))*1.2),IF(H158="AFIII",VLOOKUP(D159,Sheet1!$K$4:$S$19,5,FALSE),IF(H158="UBIII",VLOOKUP(D159,Sheet1!$K$4:$S$19,8,FALSE),VLOOKUP(D159,Sheet1!$K$4:$S$19,2,FALSE)))),0)</f>
        <v>504</v>
      </c>
      <c r="B159" s="113">
        <f t="shared" si="147"/>
        <v>57899</v>
      </c>
      <c r="C159" s="118">
        <f t="shared" si="137"/>
        <v>391.2700000000001</v>
      </c>
      <c r="D159" s="181" t="s">
        <v>6</v>
      </c>
      <c r="E159" s="182">
        <f>IF(H158="AFIII",VLOOKUP($D159,Sheet1!$A$34:$K$48,5,FALSE),IF(H158="UBIII",VLOOKUP($D159,Sheet1!$A$34:$K$48,8,FALSE),VLOOKUP($D159,Sheet1!$A$34:$K$48,2,FALSE)))</f>
        <v>2.86</v>
      </c>
      <c r="F159" s="182">
        <f>ROUNDDOWN((IF(H158="AFIII",VLOOKUP($D159,Sheet1!$A$34:$K$48,5,FALSE),IF(H158="UBIII",VLOOKUP($D159,Sheet1!$A$34:$K$48,8,FALSE),VLOOKUP($D159,Sheet1!$A$34:$K$48,2,FALSE))))*0.85,2)</f>
        <v>2.4300000000000002</v>
      </c>
      <c r="G159" s="182">
        <f t="shared" si="145"/>
        <v>2.4300000000000002</v>
      </c>
      <c r="H159" s="183" t="s">
        <v>84</v>
      </c>
      <c r="I159" s="182">
        <v>10</v>
      </c>
      <c r="K159" s="182">
        <f t="shared" si="159"/>
        <v>1.2200000000000015</v>
      </c>
      <c r="L159" s="182">
        <f t="shared" si="136"/>
        <v>8.9600000000000026</v>
      </c>
      <c r="T159" s="182">
        <f t="shared" si="154"/>
        <v>1.0000000000000675E-2</v>
      </c>
      <c r="U159" s="184">
        <f t="shared" si="155"/>
        <v>60.009999999999948</v>
      </c>
      <c r="V159" s="201">
        <f>IF(H158="AFIII",VLOOKUP(D159,Sheet1!$A$4:$H$18,5,FALSE),IF(H158="UBIII",VLOOKUP(D159,Sheet1!$A$4:$H$18,8,FALSE),IF(H158="",VLOOKUP(D159,Sheet1!$A$4:$H$18,2,FALSE),"0")))</f>
        <v>1768</v>
      </c>
      <c r="W159" s="201">
        <f t="shared" si="149"/>
        <v>0</v>
      </c>
      <c r="X159" s="208">
        <f t="shared" si="115"/>
        <v>1758</v>
      </c>
      <c r="Y159" s="171" t="str">
        <f t="shared" si="150"/>
        <v>SUCCESS</v>
      </c>
      <c r="Z159" s="171" t="str">
        <f t="shared" si="151"/>
        <v>SUCCESS</v>
      </c>
      <c r="AA159" s="185">
        <f t="shared" si="152"/>
        <v>147.9771002121297</v>
      </c>
    </row>
    <row r="160" spans="1:27">
      <c r="A160" s="112">
        <f>ROUNDDOWN(IF(N159-G160&gt;0,(IF(H159="AFIII",VLOOKUP(D160,Sheet1!$K$4:$S$19,5,FALSE),IF(H159="UBIII",VLOOKUP(D160,Sheet1!$K$4:$S$19,8,FALSE),VLOOKUP(D160,Sheet1!$K$4:$S$19,2,FALSE)))*1.2),IF(H159="AFIII",VLOOKUP(D160,Sheet1!$K$4:$S$19,5,FALSE),IF(H159="UBIII",VLOOKUP(D160,Sheet1!$K$4:$S$19,8,FALSE),VLOOKUP(D160,Sheet1!$K$4:$S$19,2,FALSE)))),0)</f>
        <v>168</v>
      </c>
      <c r="B160" s="113">
        <f t="shared" si="147"/>
        <v>58067</v>
      </c>
      <c r="C160" s="118">
        <f t="shared" si="137"/>
        <v>393.66000000000008</v>
      </c>
      <c r="D160" s="181" t="s">
        <v>12</v>
      </c>
      <c r="E160" s="182">
        <f>IF(H159="AFIII",VLOOKUP($D160,Sheet1!$A$34:$K$48,5,FALSE),IF(H159="UBIII",VLOOKUP($D160,Sheet1!$A$34:$K$48,8,FALSE),VLOOKUP($D160,Sheet1!$A$34:$K$48,2,FALSE)))</f>
        <v>1.67</v>
      </c>
      <c r="F160" s="182">
        <f>ROUNDDOWN((IF(H159="AFIII",VLOOKUP($D160,Sheet1!$A$34:$K$48,5,FALSE),IF(H159="UBIII",VLOOKUP($D160,Sheet1!$A$34:$K$48,8,FALSE),VLOOKUP($D160,Sheet1!$A$34:$K$48,2,FALSE))))*0.85,2)</f>
        <v>1.41</v>
      </c>
      <c r="G160" s="182">
        <f t="shared" si="145"/>
        <v>2.39</v>
      </c>
      <c r="H160" s="183" t="s">
        <v>84</v>
      </c>
      <c r="I160" s="182">
        <v>10</v>
      </c>
      <c r="K160" s="182">
        <f t="shared" si="159"/>
        <v>-1.1699999999999986</v>
      </c>
      <c r="L160" s="182">
        <f t="shared" si="136"/>
        <v>6.5700000000000021</v>
      </c>
      <c r="U160" s="184">
        <f t="shared" si="155"/>
        <v>57.619999999999948</v>
      </c>
      <c r="V160" s="201">
        <f>IF(H159="AFIII",VLOOKUP(D160,Sheet1!$A$4:$H$18,5,FALSE),IF(H159="UBIII",VLOOKUP(D160,Sheet1!$A$4:$H$18,8,FALSE),IF(H159="",VLOOKUP(D160,Sheet1!$A$4:$H$18,2,FALSE),"0")))</f>
        <v>265</v>
      </c>
      <c r="W160" s="201">
        <f t="shared" si="149"/>
        <v>0</v>
      </c>
      <c r="X160" s="208">
        <f t="shared" si="115"/>
        <v>1493</v>
      </c>
      <c r="Y160" s="171" t="str">
        <f t="shared" si="150"/>
        <v>SUCCESS</v>
      </c>
      <c r="Z160" s="171" t="str">
        <f t="shared" si="151"/>
        <v>ERROR</v>
      </c>
      <c r="AA160" s="185">
        <f>B160/C160</f>
        <v>147.50546156581819</v>
      </c>
    </row>
    <row r="161" spans="1:27" ht="12.75" thickBot="1">
      <c r="A161" s="116">
        <f>ROUNDDOWN(IF(N160-G161&gt;0,(IF(H160="AFIII",VLOOKUP(D161,Sheet1!$K$4:$S$19,5,FALSE),IF(H160="UBIII",VLOOKUP(D161,Sheet1!$K$4:$S$19,8,FALSE),VLOOKUP(D161,Sheet1!$K$4:$S$19,2,FALSE)))*1.2),IF(H160="AFIII",VLOOKUP(D161,Sheet1!$K$4:$S$19,5,FALSE),IF(H160="UBIII",VLOOKUP(D161,Sheet1!$K$4:$S$19,8,FALSE),VLOOKUP(D161,Sheet1!$K$4:$S$19,2,FALSE)))),0)</f>
        <v>295</v>
      </c>
      <c r="B161" s="117">
        <f t="shared" si="147"/>
        <v>58362</v>
      </c>
      <c r="C161" s="125">
        <f t="shared" si="137"/>
        <v>396.5200000000001</v>
      </c>
      <c r="D161" s="196" t="s">
        <v>19</v>
      </c>
      <c r="E161" s="197">
        <f>IF(H160="AFIII",VLOOKUP($D161,Sheet1!$A$34:$K$48,5,FALSE),IF(H160="UBIII",VLOOKUP($D161,Sheet1!$A$34:$K$48,8,FALSE),VLOOKUP($D161,Sheet1!$A$34:$K$48,2,FALSE)))</f>
        <v>2.86</v>
      </c>
      <c r="F161" s="197">
        <f>ROUNDDOWN((IF(H160="AFIII",VLOOKUP($D161,Sheet1!$A$34:$K$48,5,FALSE),IF(H160="UBIII",VLOOKUP($D161,Sheet1!$A$34:$K$48,8,FALSE),VLOOKUP($D161,Sheet1!$A$34:$K$48,2,FALSE))))*0.85,2)</f>
        <v>2.4300000000000002</v>
      </c>
      <c r="G161" s="197">
        <f t="shared" si="145"/>
        <v>2.86</v>
      </c>
      <c r="H161" s="198" t="s">
        <v>122</v>
      </c>
      <c r="I161" s="197">
        <f>I160-G161</f>
        <v>7.1400000000000006</v>
      </c>
      <c r="J161" s="198"/>
      <c r="K161" s="197"/>
      <c r="L161" s="197">
        <f t="shared" si="136"/>
        <v>3.7100000000000022</v>
      </c>
      <c r="M161" s="198"/>
      <c r="N161" s="197"/>
      <c r="O161" s="197"/>
      <c r="P161" s="198" t="s">
        <v>17</v>
      </c>
      <c r="Q161" s="197">
        <v>21</v>
      </c>
      <c r="R161" s="197"/>
      <c r="S161" s="198"/>
      <c r="T161" s="197"/>
      <c r="U161" s="199">
        <f t="shared" si="155"/>
        <v>54.759999999999948</v>
      </c>
      <c r="V161" s="206">
        <f>IF(H160="AFIII",VLOOKUP(D161,Sheet1!$A$4:$H$18,5,FALSE),IF(H160="UBIII",VLOOKUP(D161,Sheet1!$A$4:$H$18,8,FALSE),IF(H160="",VLOOKUP(D161,Sheet1!$A$4:$H$18,2,FALSE),"0")))</f>
        <v>1060</v>
      </c>
      <c r="W161" s="206">
        <f t="shared" si="149"/>
        <v>0</v>
      </c>
      <c r="X161" s="207">
        <f t="shared" ref="X161" si="162">IF(M161="コンバート",(IF(D161="フレア",0,IF(X160-V161+W161&gt;$X$3,$X$3-V161,X160-V161+W161)))+$X$1,IF(D161="フレア",0,IF(X160-V161+W161&gt;$X$3,$X$3-V161,X160-V161+W161)))</f>
        <v>433</v>
      </c>
      <c r="Y161" s="180" t="str">
        <f t="shared" si="150"/>
        <v>SUCCESS</v>
      </c>
      <c r="Z161" s="180" t="str">
        <f t="shared" si="151"/>
        <v>ERROR</v>
      </c>
      <c r="AA161" s="185">
        <f t="shared" ref="AA161" si="163">B161/C161</f>
        <v>147.18551397155247</v>
      </c>
    </row>
    <row r="162" spans="1:27" ht="12.75" thickTop="1">
      <c r="D162" s="58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X162" s="216"/>
    </row>
    <row r="163" spans="1:27">
      <c r="D163" s="58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X163" s="216"/>
    </row>
    <row r="164" spans="1:27">
      <c r="D164" s="58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X164" s="216"/>
    </row>
    <row r="165" spans="1:27">
      <c r="D165" s="58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X165" s="216"/>
    </row>
    <row r="166" spans="1:27">
      <c r="D166" s="58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X166" s="216"/>
    </row>
    <row r="167" spans="1:27">
      <c r="D167" s="58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X167" s="216"/>
    </row>
    <row r="168" spans="1:27">
      <c r="D168" s="58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X168" s="216"/>
    </row>
    <row r="169" spans="1:27">
      <c r="D169" s="58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X169" s="216"/>
    </row>
    <row r="170" spans="1:27">
      <c r="D170" s="58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X170" s="216"/>
    </row>
    <row r="171" spans="1:27">
      <c r="D171" s="58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X171" s="216"/>
    </row>
    <row r="172" spans="1:27">
      <c r="D172" s="58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X172" s="216"/>
    </row>
    <row r="173" spans="1:27">
      <c r="D173" s="58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X173" s="216"/>
    </row>
    <row r="174" spans="1:27">
      <c r="D174" s="58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X174" s="216"/>
    </row>
    <row r="175" spans="1:27">
      <c r="D175" s="58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X175" s="216"/>
    </row>
    <row r="176" spans="1:27">
      <c r="D176" s="58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X176" s="216"/>
    </row>
    <row r="177" spans="4:24">
      <c r="D177" s="58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X177" s="216"/>
    </row>
    <row r="178" spans="4:24">
      <c r="D178" s="58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X178" s="216"/>
    </row>
    <row r="179" spans="4:24">
      <c r="D179" s="58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X179" s="216"/>
    </row>
    <row r="180" spans="4:24">
      <c r="D180" s="58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X180" s="216"/>
    </row>
    <row r="181" spans="4:24">
      <c r="D181" s="58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X181" s="216"/>
    </row>
    <row r="182" spans="4:24">
      <c r="D182" s="58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X182" s="216"/>
    </row>
    <row r="183" spans="4:24">
      <c r="D183" s="5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X183" s="216"/>
    </row>
    <row r="184" spans="4:24">
      <c r="D184" s="5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X184" s="216"/>
    </row>
    <row r="185" spans="4:24">
      <c r="D185" s="5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X185" s="216"/>
    </row>
    <row r="186" spans="4:24">
      <c r="D186" s="5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X186" s="216"/>
    </row>
    <row r="187" spans="4:24">
      <c r="D187" s="58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X187" s="216"/>
    </row>
    <row r="188" spans="4:24">
      <c r="D188" s="58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X188" s="216"/>
    </row>
    <row r="189" spans="4:24">
      <c r="D189" s="58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X189" s="216"/>
    </row>
    <row r="190" spans="4:24">
      <c r="D190" s="58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X190" s="216"/>
    </row>
    <row r="191" spans="4:24">
      <c r="D191" s="58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X191" s="216"/>
    </row>
    <row r="192" spans="4:24">
      <c r="D192" s="58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X192" s="216"/>
    </row>
    <row r="193" spans="4:24">
      <c r="D193" s="58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X193" s="216"/>
    </row>
    <row r="194" spans="4:24">
      <c r="D194" s="58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X194" s="216"/>
    </row>
    <row r="195" spans="4:24">
      <c r="D195" s="58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X195" s="216"/>
    </row>
    <row r="196" spans="4:24">
      <c r="D196" s="58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X196" s="216"/>
    </row>
    <row r="197" spans="4:24">
      <c r="D197" s="58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X197" s="216"/>
    </row>
    <row r="198" spans="4:24">
      <c r="D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X198" s="216"/>
    </row>
    <row r="199" spans="4:24">
      <c r="D199" s="5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X199" s="216"/>
    </row>
    <row r="200" spans="4:24">
      <c r="D200" s="5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X200" s="216"/>
    </row>
    <row r="201" spans="4:24">
      <c r="D201" s="5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X201" s="216"/>
    </row>
    <row r="202" spans="4:24">
      <c r="D202" s="58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X202" s="216"/>
    </row>
    <row r="203" spans="4:24">
      <c r="D203" s="58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X203" s="216"/>
    </row>
    <row r="204" spans="4:24">
      <c r="D204" s="58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X204" s="216"/>
    </row>
    <row r="205" spans="4:24">
      <c r="D205" s="58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X205" s="216"/>
    </row>
    <row r="206" spans="4:24">
      <c r="D206" s="58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X206" s="216"/>
    </row>
    <row r="207" spans="4:24">
      <c r="D207" s="58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X207" s="216"/>
    </row>
    <row r="208" spans="4:24">
      <c r="D208" s="58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X208" s="216"/>
    </row>
    <row r="209" spans="4:24">
      <c r="D209" s="58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X209" s="216"/>
    </row>
    <row r="210" spans="4:24">
      <c r="D210" s="58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X210" s="216"/>
    </row>
    <row r="211" spans="4:24">
      <c r="D211" s="58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X211" s="216"/>
    </row>
    <row r="212" spans="4:24">
      <c r="D212" s="58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X212" s="216"/>
    </row>
    <row r="213" spans="4:24">
      <c r="D213" s="58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X213" s="216"/>
    </row>
    <row r="214" spans="4:24">
      <c r="D214" s="58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X214" s="216"/>
    </row>
    <row r="215" spans="4:24">
      <c r="D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X215" s="216"/>
    </row>
    <row r="216" spans="4:24">
      <c r="D216" s="58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X216" s="216"/>
    </row>
    <row r="217" spans="4:24">
      <c r="D217" s="58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X217" s="216"/>
    </row>
    <row r="218" spans="4:24">
      <c r="D218" s="58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X218" s="216"/>
    </row>
    <row r="219" spans="4:24">
      <c r="D219" s="58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X219" s="216"/>
    </row>
    <row r="220" spans="4:24">
      <c r="D220" s="58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X220" s="216"/>
    </row>
    <row r="221" spans="4:24">
      <c r="D221" s="58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X221" s="216"/>
    </row>
    <row r="222" spans="4:24">
      <c r="D222" s="58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X222" s="216"/>
    </row>
    <row r="223" spans="4:24">
      <c r="D223" s="58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X223" s="216"/>
    </row>
    <row r="224" spans="4:24">
      <c r="D224" s="58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X224" s="216"/>
    </row>
    <row r="225" spans="4:24">
      <c r="D225" s="58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X225" s="216"/>
    </row>
    <row r="226" spans="4:24">
      <c r="D226" s="58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X226" s="216"/>
    </row>
    <row r="227" spans="4:24">
      <c r="D227" s="58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X227" s="216"/>
    </row>
    <row r="228" spans="4:24">
      <c r="D228" s="58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X228" s="216"/>
    </row>
    <row r="229" spans="4:24">
      <c r="D229" s="58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X229" s="216"/>
    </row>
    <row r="230" spans="4:24">
      <c r="D230" s="58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X230" s="216"/>
    </row>
    <row r="231" spans="4:24">
      <c r="D231" s="58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X231" s="216"/>
    </row>
    <row r="232" spans="4:24">
      <c r="D232" s="58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X232" s="216"/>
    </row>
    <row r="233" spans="4:24">
      <c r="D233" s="58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X233" s="216"/>
    </row>
    <row r="234" spans="4:24">
      <c r="D234" s="58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X234" s="216"/>
    </row>
    <row r="235" spans="4:24">
      <c r="D235" s="58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X235" s="216"/>
    </row>
    <row r="236" spans="4:24">
      <c r="D236" s="58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X236" s="216"/>
    </row>
    <row r="237" spans="4:24">
      <c r="D237" s="58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X237" s="216"/>
    </row>
    <row r="238" spans="4:24">
      <c r="D238" s="58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X238" s="216"/>
    </row>
    <row r="239" spans="4:24">
      <c r="D239" s="58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X239" s="216"/>
    </row>
  </sheetData>
  <mergeCells count="6">
    <mergeCell ref="V2:W2"/>
    <mergeCell ref="K1:L1"/>
    <mergeCell ref="N1:O1"/>
    <mergeCell ref="Q1:R1"/>
    <mergeCell ref="D2:G2"/>
    <mergeCell ref="H2:U2"/>
  </mergeCells>
  <phoneticPr fontId="1"/>
  <conditionalFormatting sqref="P1 H1:J26 K2:P26 S1:W97 Q2:R97 X3:X165 Q17:X83 D98:W1048576 D1:G165 H17:P165 D20:X165">
    <cfRule type="expression" dxfId="19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4"/>
  <sheetViews>
    <sheetView topLeftCell="H76" zoomScaleNormal="100" workbookViewId="0">
      <selection activeCell="F158" sqref="F158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254</v>
      </c>
      <c r="I1" s="225" t="s">
        <v>115</v>
      </c>
      <c r="J1" s="101">
        <f>3</f>
        <v>3</v>
      </c>
      <c r="K1" s="307" t="s">
        <v>144</v>
      </c>
      <c r="L1" s="307"/>
      <c r="M1" s="101">
        <v>0</v>
      </c>
      <c r="N1" s="307" t="s">
        <v>145</v>
      </c>
      <c r="O1" s="307"/>
      <c r="P1" s="102">
        <f>H1+J1+M1</f>
        <v>257</v>
      </c>
      <c r="Q1" s="307" t="s">
        <v>116</v>
      </c>
      <c r="R1" s="307"/>
      <c r="S1" s="101">
        <v>12.5</v>
      </c>
      <c r="T1" s="225" t="s">
        <v>117</v>
      </c>
      <c r="U1" s="104">
        <f>Sheet1!B27</f>
        <v>884</v>
      </c>
      <c r="V1" s="217" t="s">
        <v>118</v>
      </c>
      <c r="W1" s="202">
        <v>242</v>
      </c>
      <c r="X1" s="203">
        <f>ROUNDDOWN(X3*0.3,0)</f>
        <v>3417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227" t="s">
        <v>107</v>
      </c>
      <c r="E3" s="173" t="s">
        <v>108</v>
      </c>
      <c r="F3" s="173" t="s">
        <v>120</v>
      </c>
      <c r="G3" s="173" t="s">
        <v>215</v>
      </c>
      <c r="H3" s="228" t="s">
        <v>107</v>
      </c>
      <c r="I3" s="173" t="s">
        <v>108</v>
      </c>
      <c r="J3" s="228" t="s">
        <v>107</v>
      </c>
      <c r="K3" s="173" t="s">
        <v>108</v>
      </c>
      <c r="L3" s="173" t="s">
        <v>119</v>
      </c>
      <c r="M3" s="228" t="s">
        <v>107</v>
      </c>
      <c r="N3" s="173" t="s">
        <v>108</v>
      </c>
      <c r="O3" s="173" t="s">
        <v>119</v>
      </c>
      <c r="P3" s="228" t="s">
        <v>107</v>
      </c>
      <c r="Q3" s="173" t="s">
        <v>108</v>
      </c>
      <c r="R3" s="173" t="s">
        <v>119</v>
      </c>
      <c r="S3" s="228" t="s">
        <v>107</v>
      </c>
      <c r="T3" s="173" t="s">
        <v>108</v>
      </c>
      <c r="U3" s="175" t="s">
        <v>119</v>
      </c>
      <c r="V3" s="226" t="s">
        <v>110</v>
      </c>
      <c r="W3" s="226" t="s">
        <v>111</v>
      </c>
      <c r="X3" s="205">
        <f>U1*S1+ROUNDDOWN(((P1-W1)/W1/2*U1*S1),0)</f>
        <v>11392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178"/>
      <c r="T4" s="177"/>
      <c r="U4" s="179"/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11392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>B4+A5</f>
        <v>240</v>
      </c>
      <c r="C5" s="118">
        <f t="shared" ref="C5:C20" si="0">C4+G5</f>
        <v>3.34</v>
      </c>
      <c r="D5" s="181" t="s">
        <v>4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3.34</v>
      </c>
      <c r="H5" s="183" t="s">
        <v>84</v>
      </c>
      <c r="I5" s="182">
        <v>10</v>
      </c>
      <c r="V5" s="201">
        <f>IF(H4="AFIII",VLOOKUP(D5,Sheet1!$A$4:$H$18,5,FALSE),IF(H4="UBIII",VLOOKUP(D5,Sheet1!$A$4:$H$18,8,FALSE),IF(H4="",VLOOKUP(D5,Sheet1!$A$4:$H$18,2,FALSE),"0")))</f>
        <v>1768</v>
      </c>
      <c r="W5" s="201">
        <f>IF(H4="UBIII",$X$2,0)</f>
        <v>0</v>
      </c>
      <c r="X5" s="208">
        <f>IF(D5="フレア",IF(M5="コンバート",$X$1,0),IF(X4-V5+W5&gt;$X$3,$X$3-V5,X4-V5+W5))</f>
        <v>9624</v>
      </c>
      <c r="Y5" s="171" t="str">
        <f t="shared" ref="Y5:Y20" si="1">IF(X4-V5&lt;0,"ERROR","SUCCESS")</f>
        <v>SUCCESS</v>
      </c>
      <c r="Z5" s="171" t="str">
        <f t="shared" ref="Z5:Z20" si="2">IF(K4-G5&lt;0,"ERROR","SUCCESS")</f>
        <v>ERROR</v>
      </c>
      <c r="AA5" s="185">
        <f>B5/C5</f>
        <v>71.856287425149702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324</v>
      </c>
      <c r="B6" s="113">
        <f t="shared" ref="B6:B20" si="3">B5+A6</f>
        <v>564</v>
      </c>
      <c r="C6" s="118">
        <f t="shared" si="0"/>
        <v>5.73</v>
      </c>
      <c r="D6" s="181" t="s">
        <v>1</v>
      </c>
      <c r="E6" s="182">
        <f>IF(H5="AFIII",VLOOKUP($D6,Sheet1!$A$34:$K$48,5,FALSE),IF(H5="UBIII",VLOOKUP($D6,Sheet1!$A$34:$K$48,8,FALSE),VLOOKUP($D6,Sheet1!$A$34:$K$48,2,FALSE)))</f>
        <v>2.39</v>
      </c>
      <c r="F6" s="182">
        <f>ROUNDDOWN((IF(H5="AFIII",VLOOKUP($D6,Sheet1!$A$34:$K$48,5,FALSE),IF(H5="UBIII",VLOOKUP($D6,Sheet1!$A$34:$K$48,8,FALSE),VLOOKUP($D6,Sheet1!$A$34:$K$48,2,FALSE))))*0.85,2)</f>
        <v>2.0299999999999998</v>
      </c>
      <c r="G6" s="182">
        <f t="shared" ref="G6:G20" si="4">IF(M5="迅速",IF(S5="黒魔紋",$F$1,$E$1),IF(S5="黒魔紋",IF(F6&lt;$F$1,$F$1,F6),IF(E6&lt;$E$1,$E$1,E6)))</f>
        <v>2.39</v>
      </c>
      <c r="H6" s="183" t="s">
        <v>84</v>
      </c>
      <c r="I6" s="182">
        <v>10</v>
      </c>
      <c r="V6" s="201">
        <f>IF(H5="AFIII",VLOOKUP(D6,Sheet1!$A$4:$H$18,5,FALSE),IF(H5="UBIII",VLOOKUP(D6,Sheet1!$A$4:$H$18,8,FALSE),IF(H5="",VLOOKUP(D6,Sheet1!$A$4:$H$18,2,FALSE),"0")))</f>
        <v>2120</v>
      </c>
      <c r="W6" s="201">
        <f t="shared" ref="W6:W20" si="5">IF(H5="UBIII",$X$2,0)</f>
        <v>0</v>
      </c>
      <c r="X6" s="208">
        <f t="shared" ref="X6:X20" si="6">IF(D6="フレア",IF(M6="コンバート",$X$1,0),IF(X5-V6+W6&gt;$X$3,$X$3-V6,X5-V6+W6))</f>
        <v>7504</v>
      </c>
      <c r="Y6" s="171" t="str">
        <f t="shared" si="1"/>
        <v>SUCCESS</v>
      </c>
      <c r="Z6" s="171" t="str">
        <f t="shared" si="2"/>
        <v>ERROR</v>
      </c>
      <c r="AA6" s="185">
        <f t="shared" ref="AA6:AA20" si="7">B6/C6</f>
        <v>98.429319371727743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324</v>
      </c>
      <c r="B7" s="113">
        <f t="shared" si="3"/>
        <v>888</v>
      </c>
      <c r="C7" s="118">
        <f t="shared" si="0"/>
        <v>8.120000000000001</v>
      </c>
      <c r="D7" s="181" t="s">
        <v>222</v>
      </c>
      <c r="E7" s="182">
        <f>IF(H6="AFIII",VLOOKUP($D7,Sheet1!$A$34:$K$48,5,FALSE),IF(H6="UBIII",VLOOKUP($D7,Sheet1!$A$34:$K$48,8,FALSE),VLOOKUP($D7,Sheet1!$A$34:$K$48,2,FALSE)))</f>
        <v>2.39</v>
      </c>
      <c r="F7" s="182">
        <f>ROUNDDOWN((IF(H6="AFIII",VLOOKUP($D7,Sheet1!$A$34:$K$48,5,FALSE),IF(H6="UBIII",VLOOKUP($D7,Sheet1!$A$34:$K$48,8,FALSE),VLOOKUP($D7,Sheet1!$A$34:$K$48,2,FALSE))))*0.85,2)</f>
        <v>2.0299999999999998</v>
      </c>
      <c r="G7" s="182">
        <f t="shared" si="4"/>
        <v>2.39</v>
      </c>
      <c r="H7" s="183" t="s">
        <v>84</v>
      </c>
      <c r="I7" s="182">
        <v>10</v>
      </c>
      <c r="V7" s="201">
        <f>IF(H6="AFIII",VLOOKUP(D7,Sheet1!$A$4:$H$18,5,FALSE),IF(H6="UBIII",VLOOKUP(D7,Sheet1!$A$4:$H$18,8,FALSE),IF(H6="",VLOOKUP(D7,Sheet1!$A$4:$H$18,2,FALSE),"0")))</f>
        <v>2120</v>
      </c>
      <c r="W7" s="201">
        <f t="shared" si="5"/>
        <v>0</v>
      </c>
      <c r="X7" s="208">
        <f t="shared" si="6"/>
        <v>5384</v>
      </c>
      <c r="Y7" s="171" t="str">
        <f t="shared" si="1"/>
        <v>SUCCESS</v>
      </c>
      <c r="Z7" s="171" t="str">
        <f t="shared" si="2"/>
        <v>ERROR</v>
      </c>
      <c r="AA7" s="185">
        <f t="shared" si="7"/>
        <v>109.35960591133004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324</v>
      </c>
      <c r="B8" s="113">
        <f t="shared" si="3"/>
        <v>1212</v>
      </c>
      <c r="C8" s="118">
        <f t="shared" si="0"/>
        <v>10.510000000000002</v>
      </c>
      <c r="D8" s="181" t="s">
        <v>222</v>
      </c>
      <c r="E8" s="182">
        <f>IF(H7="AFIII",VLOOKUP($D8,Sheet1!$A$34:$K$48,5,FALSE),IF(H7="UBIII",VLOOKUP($D8,Sheet1!$A$34:$K$48,8,FALSE),VLOOKUP($D8,Sheet1!$A$34:$K$48,2,FALSE)))</f>
        <v>2.39</v>
      </c>
      <c r="F8" s="182">
        <f>ROUNDDOWN((IF(H7="AFIII",VLOOKUP($D8,Sheet1!$A$34:$K$48,5,FALSE),IF(H7="UBIII",VLOOKUP($D8,Sheet1!$A$34:$K$48,8,FALSE),VLOOKUP($D8,Sheet1!$A$34:$K$48,2,FALSE))))*0.85,2)</f>
        <v>2.0299999999999998</v>
      </c>
      <c r="G8" s="182">
        <f t="shared" si="4"/>
        <v>2.39</v>
      </c>
      <c r="H8" s="183" t="s">
        <v>84</v>
      </c>
      <c r="I8" s="182">
        <v>10</v>
      </c>
      <c r="V8" s="201">
        <f>IF(H7="AFIII",VLOOKUP(D8,Sheet1!$A$4:$H$18,5,FALSE),IF(H7="UBIII",VLOOKUP(D8,Sheet1!$A$4:$H$18,8,FALSE),IF(H7="",VLOOKUP(D8,Sheet1!$A$4:$H$18,2,FALSE),"0")))</f>
        <v>2120</v>
      </c>
      <c r="W8" s="201">
        <f t="shared" si="5"/>
        <v>0</v>
      </c>
      <c r="X8" s="208">
        <f t="shared" si="6"/>
        <v>3264</v>
      </c>
      <c r="Y8" s="171" t="str">
        <f t="shared" si="1"/>
        <v>SUCCESS</v>
      </c>
      <c r="Z8" s="171" t="str">
        <f t="shared" si="2"/>
        <v>ERROR</v>
      </c>
      <c r="AA8" s="185">
        <f t="shared" si="7"/>
        <v>115.31874405328257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168</v>
      </c>
      <c r="B9" s="113">
        <f t="shared" si="3"/>
        <v>1380</v>
      </c>
      <c r="C9" s="118">
        <f t="shared" si="0"/>
        <v>12.900000000000002</v>
      </c>
      <c r="D9" s="181" t="s">
        <v>12</v>
      </c>
      <c r="E9" s="182">
        <f>IF(H8="AFIII",VLOOKUP($D9,Sheet1!$A$34:$K$48,5,FALSE),IF(H8="UBIII",VLOOKUP($D9,Sheet1!$A$34:$K$48,8,FALSE),VLOOKUP($D9,Sheet1!$A$34:$K$48,2,FALSE)))</f>
        <v>1.67</v>
      </c>
      <c r="F9" s="182">
        <f>ROUNDDOWN((IF(H8="AFIII",VLOOKUP($D9,Sheet1!$A$34:$K$48,5,FALSE),IF(H8="UBIII",VLOOKUP($D9,Sheet1!$A$34:$K$48,8,FALSE),VLOOKUP($D9,Sheet1!$A$34:$K$48,2,FALSE))))*0.85,2)</f>
        <v>1.41</v>
      </c>
      <c r="G9" s="182">
        <f t="shared" si="4"/>
        <v>2.39</v>
      </c>
      <c r="H9" s="183" t="s">
        <v>122</v>
      </c>
      <c r="I9" s="182">
        <v>10</v>
      </c>
      <c r="V9" s="201">
        <f>IF(H8="AFIII",VLOOKUP(D9,Sheet1!$A$4:$H$18,5,FALSE),IF(H8="UBIII",VLOOKUP(D9,Sheet1!$A$4:$H$18,8,FALSE),IF(H8="",VLOOKUP(D9,Sheet1!$A$4:$H$18,2,FALSE),"0")))</f>
        <v>265</v>
      </c>
      <c r="W9" s="201">
        <f t="shared" si="5"/>
        <v>0</v>
      </c>
      <c r="X9" s="208">
        <f t="shared" si="6"/>
        <v>2999</v>
      </c>
      <c r="Y9" s="171" t="str">
        <f t="shared" si="1"/>
        <v>SUCCESS</v>
      </c>
      <c r="Z9" s="171" t="str">
        <f t="shared" si="2"/>
        <v>ERROR</v>
      </c>
      <c r="AA9" s="185">
        <f t="shared" si="7"/>
        <v>106.97674418604649</v>
      </c>
    </row>
    <row r="10" spans="1:27">
      <c r="A10" s="12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295</v>
      </c>
      <c r="B10" s="123">
        <f t="shared" si="3"/>
        <v>1675</v>
      </c>
      <c r="C10" s="124">
        <f t="shared" si="0"/>
        <v>15.760000000000002</v>
      </c>
      <c r="D10" s="186" t="s">
        <v>19</v>
      </c>
      <c r="E10" s="187">
        <f>IF(H9="AFIII",VLOOKUP($D10,Sheet1!$A$34:$K$48,5,FALSE),IF(H9="UBIII",VLOOKUP($D10,Sheet1!$A$34:$K$48,8,FALSE),VLOOKUP($D10,Sheet1!$A$34:$K$48,2,FALSE)))</f>
        <v>2.86</v>
      </c>
      <c r="F10" s="187">
        <f>ROUNDDOWN((IF(H9="AFIII",VLOOKUP($D10,Sheet1!$A$34:$K$48,5,FALSE),IF(H9="UBIII",VLOOKUP($D10,Sheet1!$A$34:$K$48,8,FALSE),VLOOKUP($D10,Sheet1!$A$34:$K$48,2,FALSE))))*0.85,2)</f>
        <v>2.4300000000000002</v>
      </c>
      <c r="G10" s="187">
        <f t="shared" si="4"/>
        <v>2.86</v>
      </c>
      <c r="H10" s="188" t="s">
        <v>122</v>
      </c>
      <c r="I10" s="187">
        <v>10</v>
      </c>
      <c r="J10" s="188"/>
      <c r="K10" s="187"/>
      <c r="L10" s="187"/>
      <c r="M10" s="188"/>
      <c r="N10" s="187"/>
      <c r="O10" s="187"/>
      <c r="P10" s="188" t="s">
        <v>17</v>
      </c>
      <c r="Q10" s="187">
        <v>21</v>
      </c>
      <c r="R10" s="187"/>
      <c r="S10" s="188"/>
      <c r="T10" s="187"/>
      <c r="U10" s="189"/>
      <c r="V10" s="209">
        <f>IF(H9="AFIII",VLOOKUP(D10,Sheet1!$A$4:$H$18,5,FALSE),IF(H9="UBIII",VLOOKUP(D10,Sheet1!$A$4:$H$18,8,FALSE),IF(H9="",VLOOKUP(D10,Sheet1!$A$4:$H$18,2,FALSE),"0")))</f>
        <v>1060</v>
      </c>
      <c r="W10" s="209">
        <f t="shared" si="5"/>
        <v>7033</v>
      </c>
      <c r="X10" s="210">
        <f t="shared" si="6"/>
        <v>8972</v>
      </c>
      <c r="Y10" s="190" t="str">
        <f t="shared" si="1"/>
        <v>SUCCESS</v>
      </c>
      <c r="Z10" s="190" t="str">
        <f t="shared" si="2"/>
        <v>ERROR</v>
      </c>
      <c r="AA10" s="185">
        <f t="shared" si="7"/>
        <v>106.28172588832486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168</v>
      </c>
      <c r="B11" s="113">
        <f t="shared" si="3"/>
        <v>1843</v>
      </c>
      <c r="C11" s="118">
        <f t="shared" si="0"/>
        <v>18.150000000000002</v>
      </c>
      <c r="D11" s="181" t="s">
        <v>4</v>
      </c>
      <c r="E11" s="182">
        <f>IF(H10="AFIII",VLOOKUP($D11,Sheet1!$A$34:$K$48,5,FALSE),IF(H10="UBIII",VLOOKUP($D11,Sheet1!$A$34:$K$48,8,FALSE),VLOOKUP($D11,Sheet1!$A$34:$K$48,2,FALSE)))</f>
        <v>1.67</v>
      </c>
      <c r="F11" s="182">
        <f>ROUNDDOWN((IF(H10="AFIII",VLOOKUP($D11,Sheet1!$A$34:$K$48,5,FALSE),IF(H10="UBIII",VLOOKUP($D11,Sheet1!$A$34:$K$48,8,FALSE),VLOOKUP($D11,Sheet1!$A$34:$K$48,2,FALSE))))*0.85,2)</f>
        <v>1.41</v>
      </c>
      <c r="G11" s="182">
        <f t="shared" si="4"/>
        <v>2.39</v>
      </c>
      <c r="H11" s="183" t="s">
        <v>84</v>
      </c>
      <c r="I11" s="182">
        <v>10</v>
      </c>
      <c r="J11" s="183" t="s">
        <v>105</v>
      </c>
      <c r="K11" s="182">
        <v>30</v>
      </c>
      <c r="L11" s="182">
        <v>90</v>
      </c>
      <c r="M11" s="183" t="s">
        <v>96</v>
      </c>
      <c r="N11" s="182">
        <v>20</v>
      </c>
      <c r="O11" s="182">
        <v>180</v>
      </c>
      <c r="Q11" s="182">
        <f>Q10-G11</f>
        <v>18.61</v>
      </c>
      <c r="V11" s="201">
        <f>IF(H10="AFIII",VLOOKUP(D11,Sheet1!$A$4:$H$18,5,FALSE),IF(H10="UBIII",VLOOKUP(D11,Sheet1!$A$4:$H$18,8,FALSE),IF(H10="",VLOOKUP(D11,Sheet1!$A$4:$H$18,2,FALSE),"0")))</f>
        <v>442</v>
      </c>
      <c r="W11" s="201">
        <f t="shared" si="5"/>
        <v>7033</v>
      </c>
      <c r="X11" s="208">
        <f t="shared" si="6"/>
        <v>10950</v>
      </c>
      <c r="Y11" s="171" t="str">
        <f t="shared" si="1"/>
        <v>SUCCESS</v>
      </c>
      <c r="Z11" s="171" t="str">
        <f t="shared" si="2"/>
        <v>ERROR</v>
      </c>
      <c r="AA11" s="185">
        <f t="shared" si="7"/>
        <v>101.54269972451789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604</v>
      </c>
      <c r="B12" s="113">
        <f t="shared" si="3"/>
        <v>2447</v>
      </c>
      <c r="C12" s="118">
        <f t="shared" si="0"/>
        <v>21.01</v>
      </c>
      <c r="D12" s="181" t="s">
        <v>6</v>
      </c>
      <c r="E12" s="182">
        <f>IF(H11="AFIII",VLOOKUP($D12,Sheet1!$A$34:$K$48,5,FALSE),IF(H11="UBIII",VLOOKUP($D12,Sheet1!$A$34:$K$48,8,FALSE),VLOOKUP($D12,Sheet1!$A$34:$K$48,2,FALSE)))</f>
        <v>2.86</v>
      </c>
      <c r="F12" s="182">
        <f>ROUNDDOWN((IF(H11="AFIII",VLOOKUP($D12,Sheet1!$A$34:$K$48,5,FALSE),IF(H11="UBIII",VLOOKUP($D12,Sheet1!$A$34:$K$48,8,FALSE),VLOOKUP($D12,Sheet1!$A$34:$K$48,2,FALSE))))*0.85,2)</f>
        <v>2.4300000000000002</v>
      </c>
      <c r="G12" s="182">
        <f>IF(M11="迅速",IF(S11="黒魔紋",$F$1,$E$1),IF(S11="黒魔紋",IF(F12&lt;$F$1,$F$1,F12),IF(E12&lt;$E$1,$E$1,E12)))</f>
        <v>2.86</v>
      </c>
      <c r="H12" s="183" t="s">
        <v>84</v>
      </c>
      <c r="I12" s="182">
        <f>I11-G12</f>
        <v>7.1400000000000006</v>
      </c>
      <c r="K12" s="182">
        <f>K11-G12</f>
        <v>27.14</v>
      </c>
      <c r="L12" s="182">
        <f>L11-G12</f>
        <v>87.14</v>
      </c>
      <c r="N12" s="182">
        <f>N11-G12</f>
        <v>17.14</v>
      </c>
      <c r="Q12" s="182">
        <f t="shared" ref="Q12:Q19" si="8">Q11-G12</f>
        <v>15.75</v>
      </c>
      <c r="V12" s="201">
        <f>IF(H11="AFIII",VLOOKUP(D12,Sheet1!$A$4:$H$18,5,FALSE),IF(H11="UBIII",VLOOKUP(D12,Sheet1!$A$4:$H$18,8,FALSE),IF(H11="",VLOOKUP(D12,Sheet1!$A$4:$H$18,2,FALSE),"0")))</f>
        <v>1768</v>
      </c>
      <c r="W12" s="201">
        <f t="shared" si="5"/>
        <v>0</v>
      </c>
      <c r="X12" s="208">
        <f t="shared" si="6"/>
        <v>9182</v>
      </c>
      <c r="Y12" s="171" t="str">
        <f t="shared" si="1"/>
        <v>SUCCESS</v>
      </c>
      <c r="Z12" s="171" t="str">
        <f t="shared" si="2"/>
        <v>SUCCESS</v>
      </c>
      <c r="AA12" s="185">
        <f t="shared" si="7"/>
        <v>116.46834840552117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3"/>
        <v>3051</v>
      </c>
      <c r="C13" s="118">
        <f t="shared" si="0"/>
        <v>23.87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4"/>
        <v>2.86</v>
      </c>
      <c r="H13" s="183" t="s">
        <v>84</v>
      </c>
      <c r="I13" s="182">
        <f t="shared" ref="I13" si="9">I12-G13</f>
        <v>4.2800000000000011</v>
      </c>
      <c r="K13" s="182">
        <f t="shared" ref="K13:K20" si="10">K12-G13</f>
        <v>24.28</v>
      </c>
      <c r="L13" s="182">
        <f t="shared" ref="L13:L20" si="11">L12-G13</f>
        <v>84.28</v>
      </c>
      <c r="N13" s="182">
        <f>N12-G13</f>
        <v>14.280000000000001</v>
      </c>
      <c r="P13" s="183" t="s">
        <v>219</v>
      </c>
      <c r="Q13" s="182">
        <f t="shared" si="8"/>
        <v>12.89</v>
      </c>
      <c r="R13" s="182">
        <v>60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5"/>
        <v>0</v>
      </c>
      <c r="X13" s="208">
        <f t="shared" si="6"/>
        <v>7414</v>
      </c>
      <c r="Y13" s="171" t="str">
        <f t="shared" si="1"/>
        <v>SUCCESS</v>
      </c>
      <c r="Z13" s="171" t="str">
        <f t="shared" si="2"/>
        <v>SUCCESS</v>
      </c>
      <c r="AA13" s="185">
        <f t="shared" si="7"/>
        <v>127.8173439463762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388</v>
      </c>
      <c r="B14" s="113">
        <f t="shared" si="3"/>
        <v>3439</v>
      </c>
      <c r="C14" s="118">
        <f t="shared" si="0"/>
        <v>26.26</v>
      </c>
      <c r="D14" s="181" t="s">
        <v>1</v>
      </c>
      <c r="E14" s="182">
        <f>IF(H13="AFIII",VLOOKUP($D14,Sheet1!$A$34:$K$48,5,FALSE),IF(H13="UBIII",VLOOKUP($D14,Sheet1!$A$34:$K$48,8,FALSE),VLOOKUP($D14,Sheet1!$A$34:$K$48,2,FALSE)))</f>
        <v>2.39</v>
      </c>
      <c r="F14" s="182">
        <f>ROUNDDOWN((IF(H13="AFIII",VLOOKUP($D14,Sheet1!$A$34:$K$48,5,FALSE),IF(H13="UBIII",VLOOKUP($D14,Sheet1!$A$34:$K$48,8,FALSE),VLOOKUP($D14,Sheet1!$A$34:$K$48,2,FALSE))))*0.85,2)</f>
        <v>2.0299999999999998</v>
      </c>
      <c r="G14" s="182">
        <f t="shared" si="4"/>
        <v>2.39</v>
      </c>
      <c r="H14" s="183" t="s">
        <v>84</v>
      </c>
      <c r="I14" s="182">
        <v>10</v>
      </c>
      <c r="K14" s="182">
        <f t="shared" si="10"/>
        <v>21.89</v>
      </c>
      <c r="L14" s="182">
        <f t="shared" si="11"/>
        <v>81.89</v>
      </c>
      <c r="N14" s="182">
        <f t="shared" ref="N14" si="12">N13-G14</f>
        <v>11.89</v>
      </c>
      <c r="Q14" s="182">
        <f t="shared" si="8"/>
        <v>10.5</v>
      </c>
      <c r="R14" s="182">
        <f t="shared" ref="R14:R17" si="13">R13-G14</f>
        <v>57.61</v>
      </c>
      <c r="V14" s="201">
        <f>IF(H13="AFIII",VLOOKUP(D14,Sheet1!$A$4:$H$18,5,FALSE),IF(H13="UBIII",VLOOKUP(D14,Sheet1!$A$4:$H$18,8,FALSE),IF(H13="",VLOOKUP(D14,Sheet1!$A$4:$H$18,2,FALSE),"0")))</f>
        <v>2120</v>
      </c>
      <c r="W14" s="201">
        <f t="shared" si="5"/>
        <v>0</v>
      </c>
      <c r="X14" s="208">
        <f t="shared" si="6"/>
        <v>5294</v>
      </c>
      <c r="Y14" s="171" t="str">
        <f t="shared" si="1"/>
        <v>SUCCESS</v>
      </c>
      <c r="Z14" s="171" t="str">
        <f t="shared" si="2"/>
        <v>SUCCESS</v>
      </c>
      <c r="AA14" s="185">
        <f t="shared" si="7"/>
        <v>130.95963442498095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518</v>
      </c>
      <c r="B15" s="113">
        <f t="shared" si="3"/>
        <v>3957</v>
      </c>
      <c r="C15" s="118">
        <f t="shared" si="0"/>
        <v>28.650000000000002</v>
      </c>
      <c r="D15" s="181" t="s">
        <v>129</v>
      </c>
      <c r="E15" s="182">
        <f>IF(H14="AFIII",VLOOKUP($D15,Sheet1!$A$34:$K$48,5,FALSE),IF(H14="UBIII",VLOOKUP($D15,Sheet1!$A$34:$K$48,8,FALSE),VLOOKUP($D15,Sheet1!$A$34:$K$48,2,FALSE)))</f>
        <v>2.39</v>
      </c>
      <c r="F15" s="182">
        <f>ROUNDDOWN((IF(H14="AFIII",VLOOKUP($D15,Sheet1!$A$34:$K$48,5,FALSE),IF(H14="UBIII",VLOOKUP($D15,Sheet1!$A$34:$K$48,8,FALSE),VLOOKUP($D15,Sheet1!$A$34:$K$48,2,FALSE))))*0.85,2)</f>
        <v>2.0299999999999998</v>
      </c>
      <c r="G15" s="182">
        <f t="shared" si="4"/>
        <v>2.39</v>
      </c>
      <c r="H15" s="183" t="s">
        <v>84</v>
      </c>
      <c r="I15" s="182">
        <f>I14-G15</f>
        <v>7.6099999999999994</v>
      </c>
      <c r="K15" s="182">
        <f>K14-G15</f>
        <v>19.5</v>
      </c>
      <c r="L15" s="182">
        <f>L14-G15</f>
        <v>79.5</v>
      </c>
      <c r="N15" s="182">
        <f>N14-G15</f>
        <v>9.5</v>
      </c>
      <c r="Q15" s="182">
        <f t="shared" si="8"/>
        <v>8.11</v>
      </c>
      <c r="R15" s="182">
        <f t="shared" si="13"/>
        <v>55.22</v>
      </c>
      <c r="V15" s="201">
        <f>IF(H14="AFIII",VLOOKUP(D15,Sheet1!$A$4:$H$18,5,FALSE),IF(H14="UBIII",VLOOKUP(D15,Sheet1!$A$4:$H$18,8,FALSE),IF(H14="",VLOOKUP(D15,Sheet1!$A$4:$H$18,2,FALSE),"0")))</f>
        <v>0</v>
      </c>
      <c r="W15" s="201">
        <f t="shared" si="5"/>
        <v>0</v>
      </c>
      <c r="X15" s="208">
        <f t="shared" si="6"/>
        <v>5294</v>
      </c>
      <c r="Y15" s="171" t="str">
        <f t="shared" si="1"/>
        <v>SUCCESS</v>
      </c>
      <c r="Z15" s="171" t="str">
        <f t="shared" si="2"/>
        <v>SUCCESS</v>
      </c>
      <c r="AA15" s="185">
        <f t="shared" si="7"/>
        <v>138.11518324607329</v>
      </c>
    </row>
    <row r="16" spans="1:27">
      <c r="A16" s="112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604</v>
      </c>
      <c r="B16" s="113">
        <f t="shared" si="3"/>
        <v>4561</v>
      </c>
      <c r="C16" s="118">
        <f t="shared" si="0"/>
        <v>31.51</v>
      </c>
      <c r="D16" s="181" t="s">
        <v>6</v>
      </c>
      <c r="E16" s="182">
        <f>IF(H15="AFIII",VLOOKUP($D16,Sheet1!$A$34:$K$48,5,FALSE),IF(H15="UBIII",VLOOKUP($D16,Sheet1!$A$34:$K$48,8,FALSE),VLOOKUP($D16,Sheet1!$A$34:$K$48,2,FALSE)))</f>
        <v>2.86</v>
      </c>
      <c r="F16" s="182">
        <f>ROUNDDOWN((IF(H15="AFIII",VLOOKUP($D16,Sheet1!$A$34:$K$48,5,FALSE),IF(H15="UBIII",VLOOKUP($D16,Sheet1!$A$34:$K$48,8,FALSE),VLOOKUP($D16,Sheet1!$A$34:$K$48,2,FALSE))))*0.85,2)</f>
        <v>2.4300000000000002</v>
      </c>
      <c r="G16" s="182">
        <f t="shared" si="4"/>
        <v>2.86</v>
      </c>
      <c r="H16" s="183" t="s">
        <v>84</v>
      </c>
      <c r="I16" s="182">
        <f>I15-G16</f>
        <v>4.75</v>
      </c>
      <c r="K16" s="182">
        <f t="shared" si="10"/>
        <v>16.64</v>
      </c>
      <c r="L16" s="182">
        <f t="shared" si="11"/>
        <v>76.64</v>
      </c>
      <c r="N16" s="182">
        <f t="shared" ref="N16:N20" si="14">N15-G16</f>
        <v>6.6400000000000006</v>
      </c>
      <c r="Q16" s="182">
        <f t="shared" si="8"/>
        <v>5.25</v>
      </c>
      <c r="R16" s="182">
        <f t="shared" si="13"/>
        <v>52.36</v>
      </c>
      <c r="V16" s="201">
        <f>IF(H15="AFIII",VLOOKUP(D16,Sheet1!$A$4:$H$18,5,FALSE),IF(H15="UBIII",VLOOKUP(D16,Sheet1!$A$4:$H$18,8,FALSE),IF(H15="",VLOOKUP(D16,Sheet1!$A$4:$H$18,2,FALSE),"0")))</f>
        <v>1768</v>
      </c>
      <c r="W16" s="201">
        <f t="shared" si="5"/>
        <v>0</v>
      </c>
      <c r="X16" s="208">
        <f t="shared" si="6"/>
        <v>3526</v>
      </c>
      <c r="Y16" s="171" t="str">
        <f t="shared" si="1"/>
        <v>SUCCESS</v>
      </c>
      <c r="Z16" s="171" t="str">
        <f t="shared" si="2"/>
        <v>SUCCESS</v>
      </c>
      <c r="AA16" s="185">
        <f t="shared" si="7"/>
        <v>144.74769914312915</v>
      </c>
    </row>
    <row r="17" spans="1:27">
      <c r="A17" s="112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604</v>
      </c>
      <c r="B17" s="113">
        <f t="shared" si="3"/>
        <v>5165</v>
      </c>
      <c r="C17" s="118">
        <f t="shared" si="0"/>
        <v>34.370000000000005</v>
      </c>
      <c r="D17" s="181" t="s">
        <v>223</v>
      </c>
      <c r="E17" s="182">
        <f>IF(H16="AFIII",VLOOKUP($D17,Sheet1!$A$34:$K$48,5,FALSE),IF(H16="UBIII",VLOOKUP($D17,Sheet1!$A$34:$K$48,8,FALSE),VLOOKUP($D17,Sheet1!$A$34:$K$48,2,FALSE)))</f>
        <v>2.86</v>
      </c>
      <c r="F17" s="182">
        <f>ROUNDDOWN((IF(H16="AFIII",VLOOKUP($D17,Sheet1!$A$34:$K$48,5,FALSE),IF(H16="UBIII",VLOOKUP($D17,Sheet1!$A$34:$K$48,8,FALSE),VLOOKUP($D17,Sheet1!$A$34:$K$48,2,FALSE))))*0.85,2)</f>
        <v>2.4300000000000002</v>
      </c>
      <c r="G17" s="182">
        <f t="shared" si="4"/>
        <v>2.86</v>
      </c>
      <c r="H17" s="183" t="s">
        <v>84</v>
      </c>
      <c r="I17" s="182">
        <v>10</v>
      </c>
      <c r="K17" s="182">
        <f t="shared" si="10"/>
        <v>13.780000000000001</v>
      </c>
      <c r="L17" s="182">
        <f t="shared" si="11"/>
        <v>73.78</v>
      </c>
      <c r="M17" s="183" t="s">
        <v>218</v>
      </c>
      <c r="N17" s="182">
        <f t="shared" si="14"/>
        <v>3.7800000000000007</v>
      </c>
      <c r="O17" s="182">
        <v>60</v>
      </c>
      <c r="Q17" s="182">
        <f t="shared" si="8"/>
        <v>2.39</v>
      </c>
      <c r="R17" s="182">
        <f t="shared" si="13"/>
        <v>49.5</v>
      </c>
      <c r="V17" s="201">
        <f>IF(H16="AFIII",VLOOKUP(D17,Sheet1!$A$4:$H$18,5,FALSE),IF(H16="UBIII",VLOOKUP(D17,Sheet1!$A$4:$H$18,8,FALSE),IF(H16="",VLOOKUP(D17,Sheet1!$A$4:$H$18,2,FALSE),"0")))</f>
        <v>1768</v>
      </c>
      <c r="W17" s="201">
        <f t="shared" si="5"/>
        <v>0</v>
      </c>
      <c r="X17" s="208">
        <f t="shared" si="6"/>
        <v>1758</v>
      </c>
      <c r="Y17" s="171" t="str">
        <f t="shared" si="1"/>
        <v>SUCCESS</v>
      </c>
      <c r="Z17" s="171" t="str">
        <f t="shared" si="2"/>
        <v>SUCCESS</v>
      </c>
      <c r="AA17" s="185">
        <f t="shared" si="7"/>
        <v>150.2764038405586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561</v>
      </c>
      <c r="B18" s="113">
        <f t="shared" si="3"/>
        <v>5726</v>
      </c>
      <c r="C18" s="118">
        <f>C17+G18</f>
        <v>36.760000000000005</v>
      </c>
      <c r="D18" s="181" t="s">
        <v>10</v>
      </c>
      <c r="E18" s="182">
        <f>IF(H17="AFIII",VLOOKUP($D18,Sheet1!$A$34:$K$48,5,FALSE),IF(H17="UBIII",VLOOKUP($D18,Sheet1!$A$34:$K$48,8,FALSE),VLOOKUP($D18,Sheet1!$A$34:$K$48,2,FALSE)))</f>
        <v>3.82</v>
      </c>
      <c r="F18" s="182">
        <f>ROUNDDOWN((IF(H17="AFIII",VLOOKUP($D18,Sheet1!$A$34:$K$48,5,FALSE),IF(H17="UBIII",VLOOKUP($D18,Sheet1!$A$34:$K$48,8,FALSE),VLOOKUP($D18,Sheet1!$A$34:$K$48,2,FALSE))))*0.85,2)</f>
        <v>3.24</v>
      </c>
      <c r="G18" s="182">
        <f t="shared" si="4"/>
        <v>2.39</v>
      </c>
      <c r="H18" s="183" t="s">
        <v>84</v>
      </c>
      <c r="I18" s="182">
        <v>10</v>
      </c>
      <c r="K18" s="182">
        <f t="shared" si="10"/>
        <v>11.39</v>
      </c>
      <c r="L18" s="182">
        <f t="shared" si="11"/>
        <v>71.39</v>
      </c>
      <c r="M18" s="183" t="s">
        <v>224</v>
      </c>
      <c r="N18" s="182">
        <f t="shared" si="14"/>
        <v>1.3900000000000006</v>
      </c>
      <c r="O18" s="182">
        <v>180</v>
      </c>
      <c r="Q18" s="182">
        <f t="shared" si="8"/>
        <v>0</v>
      </c>
      <c r="R18" s="182">
        <f>R17-G18</f>
        <v>47.11</v>
      </c>
      <c r="V18" s="201">
        <f>IF(H17="AFIII",VLOOKUP(D18,Sheet1!$A$4:$H$18,5,FALSE),IF(H17="UBIII",VLOOKUP(D18,Sheet1!$A$4:$H$18,8,FALSE),IF(H17="",VLOOKUP(D18,Sheet1!$A$4:$H$18,2,FALSE),"0")))</f>
        <v>884</v>
      </c>
      <c r="W18" s="201">
        <f t="shared" si="5"/>
        <v>0</v>
      </c>
      <c r="X18" s="208">
        <f t="shared" si="6"/>
        <v>3417</v>
      </c>
      <c r="Y18" s="171" t="str">
        <f t="shared" si="1"/>
        <v>SUCCESS</v>
      </c>
      <c r="Z18" s="171" t="str">
        <f t="shared" si="2"/>
        <v>SUCCESS</v>
      </c>
      <c r="AA18" s="185">
        <f t="shared" si="7"/>
        <v>155.76713819368877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504</v>
      </c>
      <c r="B19" s="113">
        <f t="shared" si="3"/>
        <v>6230</v>
      </c>
      <c r="C19" s="118">
        <f t="shared" si="0"/>
        <v>39.620000000000005</v>
      </c>
      <c r="D19" s="181" t="s">
        <v>223</v>
      </c>
      <c r="E19" s="182">
        <f>IF(H18="AFIII",VLOOKUP($D19,Sheet1!$A$34:$K$48,5,FALSE),IF(H18="UBIII",VLOOKUP($D19,Sheet1!$A$34:$K$48,8,FALSE),VLOOKUP($D19,Sheet1!$A$34:$K$48,2,FALSE)))</f>
        <v>2.86</v>
      </c>
      <c r="F19" s="182">
        <f>ROUNDDOWN((IF(H18="AFIII",VLOOKUP($D19,Sheet1!$A$34:$K$48,5,FALSE),IF(H18="UBIII",VLOOKUP($D19,Sheet1!$A$34:$K$48,8,FALSE),VLOOKUP($D19,Sheet1!$A$34:$K$48,2,FALSE))))*0.85,2)</f>
        <v>2.4300000000000002</v>
      </c>
      <c r="G19" s="182">
        <f t="shared" si="4"/>
        <v>2.86</v>
      </c>
      <c r="H19" s="183" t="s">
        <v>84</v>
      </c>
      <c r="I19" s="182">
        <v>10</v>
      </c>
      <c r="K19" s="182">
        <f t="shared" si="10"/>
        <v>8.5300000000000011</v>
      </c>
      <c r="L19" s="182">
        <f t="shared" si="11"/>
        <v>68.53</v>
      </c>
      <c r="M19" s="183" t="s">
        <v>140</v>
      </c>
      <c r="N19" s="182">
        <f t="shared" si="14"/>
        <v>-1.4699999999999993</v>
      </c>
      <c r="Q19" s="182">
        <f t="shared" si="8"/>
        <v>-2.86</v>
      </c>
      <c r="R19" s="182">
        <f t="shared" ref="R19:R20" si="15">R18-G19</f>
        <v>44.25</v>
      </c>
      <c r="V19" s="201">
        <f>IF(H18="AFIII",VLOOKUP(D19,Sheet1!$A$4:$H$18,5,FALSE),IF(H18="UBIII",VLOOKUP(D19,Sheet1!$A$4:$H$18,8,FALSE),IF(H18="",VLOOKUP(D19,Sheet1!$A$4:$H$18,2,FALSE),"0")))</f>
        <v>1768</v>
      </c>
      <c r="W19" s="201">
        <f t="shared" si="5"/>
        <v>0</v>
      </c>
      <c r="X19" s="208">
        <f t="shared" si="6"/>
        <v>1649</v>
      </c>
      <c r="Y19" s="171" t="str">
        <f t="shared" si="1"/>
        <v>SUCCESS</v>
      </c>
      <c r="Z19" s="171" t="str">
        <f t="shared" si="2"/>
        <v>SUCCESS</v>
      </c>
      <c r="AA19" s="185">
        <f t="shared" si="7"/>
        <v>157.24381625441694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168</v>
      </c>
      <c r="B20" s="113">
        <f t="shared" si="3"/>
        <v>6398</v>
      </c>
      <c r="C20" s="118">
        <f t="shared" si="0"/>
        <v>42.010000000000005</v>
      </c>
      <c r="D20" s="181" t="s">
        <v>12</v>
      </c>
      <c r="E20" s="182">
        <f>IF(H19="AFIII",VLOOKUP($D20,Sheet1!$A$34:$K$48,5,FALSE),IF(H19="UBIII",VLOOKUP($D20,Sheet1!$A$34:$K$48,8,FALSE),VLOOKUP($D20,Sheet1!$A$34:$K$48,2,FALSE)))</f>
        <v>1.67</v>
      </c>
      <c r="F20" s="182">
        <f>ROUNDDOWN((IF(H19="AFIII",VLOOKUP($D20,Sheet1!$A$34:$K$48,5,FALSE),IF(H19="UBIII",VLOOKUP($D20,Sheet1!$A$34:$K$48,8,FALSE),VLOOKUP($D20,Sheet1!$A$34:$K$48,2,FALSE))))*0.85,2)</f>
        <v>1.41</v>
      </c>
      <c r="G20" s="182">
        <f t="shared" si="4"/>
        <v>2.39</v>
      </c>
      <c r="H20" s="183" t="s">
        <v>122</v>
      </c>
      <c r="I20" s="182">
        <v>10</v>
      </c>
      <c r="K20" s="182">
        <f t="shared" si="10"/>
        <v>6.1400000000000006</v>
      </c>
      <c r="L20" s="182">
        <f t="shared" si="11"/>
        <v>66.14</v>
      </c>
      <c r="N20" s="182">
        <f t="shared" si="14"/>
        <v>-3.8599999999999994</v>
      </c>
      <c r="O20" s="182">
        <f>O17-G18-G20-G19</f>
        <v>52.36</v>
      </c>
      <c r="R20" s="182">
        <f t="shared" si="15"/>
        <v>41.86</v>
      </c>
      <c r="V20" s="201">
        <f>IF(H19="AFIII",VLOOKUP(D20,Sheet1!$A$4:$H$18,5,FALSE),IF(H19="UBIII",VLOOKUP(D20,Sheet1!$A$4:$H$18,8,FALSE),IF(H19="",VLOOKUP(D20,Sheet1!$A$4:$H$18,2,FALSE),"0")))</f>
        <v>265</v>
      </c>
      <c r="W20" s="201">
        <f t="shared" si="5"/>
        <v>0</v>
      </c>
      <c r="X20" s="208">
        <f t="shared" si="6"/>
        <v>1384</v>
      </c>
      <c r="Y20" s="171" t="str">
        <f t="shared" si="1"/>
        <v>SUCCESS</v>
      </c>
      <c r="Z20" s="171" t="str">
        <f t="shared" si="2"/>
        <v>SUCCESS</v>
      </c>
      <c r="AA20" s="185">
        <f t="shared" si="7"/>
        <v>152.29707212568434</v>
      </c>
    </row>
    <row r="21" spans="1:27">
      <c r="A21" s="119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280</v>
      </c>
      <c r="B21" s="120">
        <f t="shared" ref="B21:B27" si="16">B20+A21</f>
        <v>6678</v>
      </c>
      <c r="C21" s="121">
        <f t="shared" ref="C21:C27" si="17">C20+G21</f>
        <v>44.870000000000005</v>
      </c>
      <c r="D21" s="191" t="s">
        <v>14</v>
      </c>
      <c r="E21" s="192">
        <f>IF(H20="AFIII",VLOOKUP($D21,Sheet1!$A$34:$K$48,5,FALSE),IF(H20="UBIII",VLOOKUP($D21,Sheet1!$A$34:$K$48,8,FALSE),VLOOKUP($D21,Sheet1!$A$34:$K$48,2,FALSE)))</f>
        <v>2.86</v>
      </c>
      <c r="F21" s="192">
        <f>ROUNDDOWN((IF(H20="AFIII",VLOOKUP($D21,Sheet1!$A$34:$K$48,5,FALSE),IF(H20="UBIII",VLOOKUP($D21,Sheet1!$A$34:$K$48,8,FALSE),VLOOKUP($D21,Sheet1!$A$34:$K$48,2,FALSE))))*0.85,2)</f>
        <v>2.4300000000000002</v>
      </c>
      <c r="G21" s="192">
        <f t="shared" ref="G21:G27" si="18">IF(M20="迅速",IF(S20="黒魔紋",$F$1,$E$1),IF(S20="黒魔紋",IF(F21&lt;$F$1,$F$1,F21),IF(E21&lt;$E$1,$E$1,E21)))</f>
        <v>2.86</v>
      </c>
      <c r="H21" s="193" t="s">
        <v>122</v>
      </c>
      <c r="I21" s="192">
        <f t="shared" ref="I21" si="19">I20-G21</f>
        <v>7.1400000000000006</v>
      </c>
      <c r="J21" s="193"/>
      <c r="K21" s="192">
        <v>25</v>
      </c>
      <c r="L21" s="192">
        <f t="shared" ref="L21:L27" si="20">L20-G21</f>
        <v>63.28</v>
      </c>
      <c r="M21" s="193"/>
      <c r="N21" s="192"/>
      <c r="O21" s="192">
        <f t="shared" ref="O21:O27" si="21">O20-G21</f>
        <v>49.5</v>
      </c>
      <c r="P21" s="193"/>
      <c r="Q21" s="192"/>
      <c r="R21" s="192">
        <f t="shared" ref="R21:R27" si="22">R20-G21</f>
        <v>39</v>
      </c>
      <c r="S21" s="193"/>
      <c r="T21" s="192"/>
      <c r="U21" s="194"/>
      <c r="V21" s="211">
        <f>IF(H20="AFIII",VLOOKUP(D21,Sheet1!$A$4:$H$18,5,FALSE),IF(H20="UBIII",VLOOKUP(D21,Sheet1!$A$4:$H$18,8,FALSE),IF(H20="",VLOOKUP(D21,Sheet1!$A$4:$H$18,2,FALSE),"0")))</f>
        <v>884</v>
      </c>
      <c r="W21" s="211">
        <f t="shared" ref="W21:W27" si="23">IF(H20="UBIII",$X$2,0)</f>
        <v>7033</v>
      </c>
      <c r="X21" s="212">
        <f t="shared" ref="X21:X27" si="24">IF(D21="フレア",IF(M21="コンバート",$X$1,0),IF(X20-V21+W21&gt;$X$3,$X$3-V21,X20-V21+W21))</f>
        <v>7533</v>
      </c>
      <c r="Y21" s="195" t="str">
        <f t="shared" ref="Y21:Y27" si="25">IF(X20-V21&lt;0,"ERROR","SUCCESS")</f>
        <v>SUCCESS</v>
      </c>
      <c r="Z21" s="195" t="str">
        <f t="shared" ref="Z21:Z27" si="26">IF(K20-G21&lt;0,"ERROR","SUCCESS")</f>
        <v>SUCCESS</v>
      </c>
      <c r="AA21" s="185">
        <f t="shared" ref="AA21:AA27" si="27">B21/C21</f>
        <v>148.8299531981279</v>
      </c>
    </row>
    <row r="22" spans="1:27">
      <c r="A22" s="112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168</v>
      </c>
      <c r="B22" s="113">
        <f t="shared" si="16"/>
        <v>6846</v>
      </c>
      <c r="C22" s="118">
        <f t="shared" si="17"/>
        <v>47.260000000000005</v>
      </c>
      <c r="D22" s="181" t="s">
        <v>4</v>
      </c>
      <c r="E22" s="182">
        <f>IF(H21="AFIII",VLOOKUP($D22,Sheet1!$A$34:$K$48,5,FALSE),IF(H21="UBIII",VLOOKUP($D22,Sheet1!$A$34:$K$48,8,FALSE),VLOOKUP($D22,Sheet1!$A$34:$K$48,2,FALSE)))</f>
        <v>1.67</v>
      </c>
      <c r="F22" s="182">
        <f>ROUNDDOWN((IF(H21="AFIII",VLOOKUP($D22,Sheet1!$A$34:$K$48,5,FALSE),IF(H21="UBIII",VLOOKUP($D22,Sheet1!$A$34:$K$48,8,FALSE),VLOOKUP($D22,Sheet1!$A$34:$K$48,2,FALSE))))*0.85,2)</f>
        <v>1.41</v>
      </c>
      <c r="G22" s="182">
        <f t="shared" si="18"/>
        <v>2.39</v>
      </c>
      <c r="H22" s="183" t="s">
        <v>84</v>
      </c>
      <c r="I22" s="182">
        <v>10</v>
      </c>
      <c r="K22" s="182">
        <f>K21-G22</f>
        <v>22.61</v>
      </c>
      <c r="L22" s="182">
        <f t="shared" si="20"/>
        <v>60.89</v>
      </c>
      <c r="O22" s="182">
        <f t="shared" si="21"/>
        <v>47.11</v>
      </c>
      <c r="R22" s="182">
        <f t="shared" si="22"/>
        <v>36.61</v>
      </c>
      <c r="V22" s="201">
        <f>IF(H21="AFIII",VLOOKUP(D22,Sheet1!$A$4:$H$18,5,FALSE),IF(H21="UBIII",VLOOKUP(D22,Sheet1!$A$4:$H$18,8,FALSE),IF(H21="",VLOOKUP(D22,Sheet1!$A$4:$H$18,2,FALSE),"0")))</f>
        <v>442</v>
      </c>
      <c r="W22" s="201">
        <f t="shared" si="23"/>
        <v>7033</v>
      </c>
      <c r="X22" s="208">
        <f t="shared" si="24"/>
        <v>10950</v>
      </c>
      <c r="Y22" s="171" t="str">
        <f t="shared" si="25"/>
        <v>SUCCESS</v>
      </c>
      <c r="Z22" s="171" t="str">
        <f t="shared" si="26"/>
        <v>SUCCESS</v>
      </c>
      <c r="AA22" s="185">
        <f t="shared" si="27"/>
        <v>144.85823106220903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504</v>
      </c>
      <c r="B23" s="113">
        <f t="shared" si="16"/>
        <v>7350</v>
      </c>
      <c r="C23" s="118">
        <f t="shared" si="17"/>
        <v>50.120000000000005</v>
      </c>
      <c r="D23" s="181" t="s">
        <v>6</v>
      </c>
      <c r="E23" s="182">
        <f>IF(H22="AFIII",VLOOKUP($D23,Sheet1!$A$34:$K$48,5,FALSE),IF(H22="UBIII",VLOOKUP($D23,Sheet1!$A$34:$K$48,8,FALSE),VLOOKUP($D23,Sheet1!$A$34:$K$48,2,FALSE)))</f>
        <v>2.86</v>
      </c>
      <c r="F23" s="182">
        <f>ROUNDDOWN((IF(H22="AFIII",VLOOKUP($D23,Sheet1!$A$34:$K$48,5,FALSE),IF(H22="UBIII",VLOOKUP($D23,Sheet1!$A$34:$K$48,8,FALSE),VLOOKUP($D23,Sheet1!$A$34:$K$48,2,FALSE))))*0.85,2)</f>
        <v>2.4300000000000002</v>
      </c>
      <c r="G23" s="182">
        <f t="shared" si="18"/>
        <v>2.86</v>
      </c>
      <c r="H23" s="183" t="s">
        <v>84</v>
      </c>
      <c r="I23" s="182">
        <f>I22-G23</f>
        <v>7.1400000000000006</v>
      </c>
      <c r="K23" s="182">
        <f t="shared" ref="K23:K27" si="28">K22-G23</f>
        <v>19.75</v>
      </c>
      <c r="L23" s="182">
        <f t="shared" si="20"/>
        <v>58.03</v>
      </c>
      <c r="O23" s="182">
        <f t="shared" si="21"/>
        <v>44.25</v>
      </c>
      <c r="R23" s="182">
        <f t="shared" si="22"/>
        <v>33.75</v>
      </c>
      <c r="V23" s="201">
        <f>IF(H22="AFIII",VLOOKUP(D23,Sheet1!$A$4:$H$18,5,FALSE),IF(H22="UBIII",VLOOKUP(D23,Sheet1!$A$4:$H$18,8,FALSE),IF(H22="",VLOOKUP(D23,Sheet1!$A$4:$H$18,2,FALSE),"0")))</f>
        <v>1768</v>
      </c>
      <c r="W23" s="201">
        <f t="shared" si="23"/>
        <v>0</v>
      </c>
      <c r="X23" s="208">
        <f t="shared" si="24"/>
        <v>9182</v>
      </c>
      <c r="Y23" s="171" t="str">
        <f t="shared" si="25"/>
        <v>SUCCESS</v>
      </c>
      <c r="Z23" s="171" t="str">
        <f t="shared" si="26"/>
        <v>SUCCESS</v>
      </c>
      <c r="AA23" s="185">
        <f t="shared" si="27"/>
        <v>146.64804469273741</v>
      </c>
    </row>
    <row r="24" spans="1:27">
      <c r="A24" s="112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504</v>
      </c>
      <c r="B24" s="113">
        <f t="shared" si="16"/>
        <v>7854</v>
      </c>
      <c r="C24" s="118">
        <f t="shared" si="17"/>
        <v>52.980000000000004</v>
      </c>
      <c r="D24" s="181" t="s">
        <v>6</v>
      </c>
      <c r="E24" s="182">
        <f>IF(H23="AFIII",VLOOKUP($D24,Sheet1!$A$34:$K$48,5,FALSE),IF(H23="UBIII",VLOOKUP($D24,Sheet1!$A$34:$K$48,8,FALSE),VLOOKUP($D24,Sheet1!$A$34:$K$48,2,FALSE)))</f>
        <v>2.86</v>
      </c>
      <c r="F24" s="182">
        <f>ROUNDDOWN((IF(H23="AFIII",VLOOKUP($D24,Sheet1!$A$34:$K$48,5,FALSE),IF(H23="UBIII",VLOOKUP($D24,Sheet1!$A$34:$K$48,8,FALSE),VLOOKUP($D24,Sheet1!$A$34:$K$48,2,FALSE))))*0.85,2)</f>
        <v>2.4300000000000002</v>
      </c>
      <c r="G24" s="182">
        <f t="shared" si="18"/>
        <v>2.86</v>
      </c>
      <c r="H24" s="183" t="s">
        <v>84</v>
      </c>
      <c r="I24" s="182">
        <f>I23-G24</f>
        <v>4.2800000000000011</v>
      </c>
      <c r="K24" s="182">
        <f t="shared" si="28"/>
        <v>16.89</v>
      </c>
      <c r="L24" s="182">
        <f t="shared" si="20"/>
        <v>55.17</v>
      </c>
      <c r="O24" s="182">
        <f t="shared" si="21"/>
        <v>41.39</v>
      </c>
      <c r="R24" s="182">
        <f t="shared" si="22"/>
        <v>30.89</v>
      </c>
      <c r="V24" s="201">
        <f>IF(H23="AFIII",VLOOKUP(D24,Sheet1!$A$4:$H$18,5,FALSE),IF(H23="UBIII",VLOOKUP(D24,Sheet1!$A$4:$H$18,8,FALSE),IF(H23="",VLOOKUP(D24,Sheet1!$A$4:$H$18,2,FALSE),"0")))</f>
        <v>1768</v>
      </c>
      <c r="W24" s="201">
        <f t="shared" si="23"/>
        <v>0</v>
      </c>
      <c r="X24" s="208">
        <f t="shared" si="24"/>
        <v>7414</v>
      </c>
      <c r="Y24" s="171" t="str">
        <f t="shared" si="25"/>
        <v>SUCCESS</v>
      </c>
      <c r="Z24" s="171" t="str">
        <f t="shared" si="26"/>
        <v>SUCCESS</v>
      </c>
      <c r="AA24" s="185">
        <f t="shared" si="27"/>
        <v>148.24462061155151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324</v>
      </c>
      <c r="B25" s="113">
        <f t="shared" si="16"/>
        <v>8178</v>
      </c>
      <c r="C25" s="118">
        <f t="shared" si="17"/>
        <v>55.370000000000005</v>
      </c>
      <c r="D25" s="181" t="s">
        <v>1</v>
      </c>
      <c r="E25" s="182">
        <f>IF(H24="AFIII",VLOOKUP($D25,Sheet1!$A$34:$K$48,5,FALSE),IF(H24="UBIII",VLOOKUP($D25,Sheet1!$A$34:$K$48,8,FALSE),VLOOKUP($D25,Sheet1!$A$34:$K$48,2,FALSE)))</f>
        <v>2.39</v>
      </c>
      <c r="F25" s="182">
        <f>ROUNDDOWN((IF(H24="AFIII",VLOOKUP($D25,Sheet1!$A$34:$K$48,5,FALSE),IF(H24="UBIII",VLOOKUP($D25,Sheet1!$A$34:$K$48,8,FALSE),VLOOKUP($D25,Sheet1!$A$34:$K$48,2,FALSE))))*0.85,2)</f>
        <v>2.0299999999999998</v>
      </c>
      <c r="G25" s="182">
        <f t="shared" si="18"/>
        <v>2.39</v>
      </c>
      <c r="H25" s="183" t="s">
        <v>84</v>
      </c>
      <c r="I25" s="182">
        <v>10</v>
      </c>
      <c r="K25" s="182">
        <f t="shared" si="28"/>
        <v>14.5</v>
      </c>
      <c r="L25" s="182">
        <f t="shared" si="20"/>
        <v>52.78</v>
      </c>
      <c r="O25" s="182">
        <f t="shared" si="21"/>
        <v>39</v>
      </c>
      <c r="R25" s="182">
        <f t="shared" si="22"/>
        <v>28.5</v>
      </c>
      <c r="V25" s="201">
        <f>IF(H24="AFIII",VLOOKUP(D25,Sheet1!$A$4:$H$18,5,FALSE),IF(H24="UBIII",VLOOKUP(D25,Sheet1!$A$4:$H$18,8,FALSE),IF(H24="",VLOOKUP(D25,Sheet1!$A$4:$H$18,2,FALSE),"0")))</f>
        <v>2120</v>
      </c>
      <c r="W25" s="201">
        <f t="shared" si="23"/>
        <v>0</v>
      </c>
      <c r="X25" s="208">
        <f t="shared" si="24"/>
        <v>5294</v>
      </c>
      <c r="Y25" s="171" t="str">
        <f t="shared" si="25"/>
        <v>SUCCESS</v>
      </c>
      <c r="Z25" s="171" t="str">
        <f t="shared" si="26"/>
        <v>SUCCESS</v>
      </c>
      <c r="AA25" s="185">
        <f t="shared" si="27"/>
        <v>147.69730901210039</v>
      </c>
    </row>
    <row r="26" spans="1:27">
      <c r="A26" s="112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504</v>
      </c>
      <c r="B26" s="113">
        <f t="shared" si="16"/>
        <v>8682</v>
      </c>
      <c r="C26" s="118">
        <f t="shared" si="17"/>
        <v>58.230000000000004</v>
      </c>
      <c r="D26" s="181" t="s">
        <v>6</v>
      </c>
      <c r="E26" s="182">
        <f>IF(H25="AFIII",VLOOKUP($D26,Sheet1!$A$34:$K$48,5,FALSE),IF(H25="UBIII",VLOOKUP($D26,Sheet1!$A$34:$K$48,8,FALSE),VLOOKUP($D26,Sheet1!$A$34:$K$48,2,FALSE)))</f>
        <v>2.86</v>
      </c>
      <c r="F26" s="182">
        <f>ROUNDDOWN((IF(H25="AFIII",VLOOKUP($D26,Sheet1!$A$34:$K$48,5,FALSE),IF(H25="UBIII",VLOOKUP($D26,Sheet1!$A$34:$K$48,8,FALSE),VLOOKUP($D26,Sheet1!$A$34:$K$48,2,FALSE))))*0.85,2)</f>
        <v>2.4300000000000002</v>
      </c>
      <c r="G26" s="182">
        <f t="shared" si="18"/>
        <v>2.86</v>
      </c>
      <c r="H26" s="183" t="s">
        <v>84</v>
      </c>
      <c r="I26" s="182">
        <f>I25-G26</f>
        <v>7.1400000000000006</v>
      </c>
      <c r="K26" s="182">
        <f t="shared" si="28"/>
        <v>11.64</v>
      </c>
      <c r="L26" s="182">
        <f t="shared" si="20"/>
        <v>49.92</v>
      </c>
      <c r="O26" s="182">
        <f t="shared" si="21"/>
        <v>36.14</v>
      </c>
      <c r="R26" s="182">
        <f t="shared" si="22"/>
        <v>25.64</v>
      </c>
      <c r="V26" s="201">
        <f>IF(H25="AFIII",VLOOKUP(D26,Sheet1!$A$4:$H$18,5,FALSE),IF(H25="UBIII",VLOOKUP(D26,Sheet1!$A$4:$H$18,8,FALSE),IF(H25="",VLOOKUP(D26,Sheet1!$A$4:$H$18,2,FALSE),"0")))</f>
        <v>1768</v>
      </c>
      <c r="W26" s="201">
        <f t="shared" si="23"/>
        <v>0</v>
      </c>
      <c r="X26" s="208">
        <f t="shared" si="24"/>
        <v>3526</v>
      </c>
      <c r="Y26" s="171" t="str">
        <f t="shared" si="25"/>
        <v>SUCCESS</v>
      </c>
      <c r="Z26" s="171" t="str">
        <f t="shared" si="26"/>
        <v>SUCCESS</v>
      </c>
      <c r="AA26" s="185">
        <f t="shared" si="27"/>
        <v>149.09840288511074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432</v>
      </c>
      <c r="B27" s="113">
        <f t="shared" si="16"/>
        <v>9114</v>
      </c>
      <c r="C27" s="118">
        <f t="shared" si="17"/>
        <v>60.620000000000005</v>
      </c>
      <c r="D27" s="181" t="s">
        <v>229</v>
      </c>
      <c r="E27" s="182">
        <f>IF(H26="AFIII",VLOOKUP($D27,Sheet1!$A$34:$K$48,5,FALSE),IF(H26="UBIII",VLOOKUP($D27,Sheet1!$A$34:$K$48,8,FALSE),VLOOKUP($D27,Sheet1!$A$34:$K$48,2,FALSE)))</f>
        <v>2.39</v>
      </c>
      <c r="F27" s="182">
        <f>ROUNDDOWN((IF(H26="AFIII",VLOOKUP($D27,Sheet1!$A$34:$K$48,5,FALSE),IF(H26="UBIII",VLOOKUP($D27,Sheet1!$A$34:$K$48,8,FALSE),VLOOKUP($D27,Sheet1!$A$34:$K$48,2,FALSE))))*0.85,2)</f>
        <v>2.0299999999999998</v>
      </c>
      <c r="G27" s="182">
        <f t="shared" si="18"/>
        <v>2.39</v>
      </c>
      <c r="H27" s="183" t="s">
        <v>84</v>
      </c>
      <c r="I27" s="182">
        <f>I26-G27</f>
        <v>4.75</v>
      </c>
      <c r="K27" s="182">
        <f t="shared" si="28"/>
        <v>9.25</v>
      </c>
      <c r="L27" s="182">
        <f t="shared" si="20"/>
        <v>47.53</v>
      </c>
      <c r="O27" s="182">
        <f t="shared" si="21"/>
        <v>33.75</v>
      </c>
      <c r="R27" s="182">
        <f t="shared" si="22"/>
        <v>23.25</v>
      </c>
      <c r="V27" s="201">
        <f>IF(H26="AFIII",VLOOKUP(D27,Sheet1!$A$4:$H$18,5,FALSE),IF(H26="UBIII",VLOOKUP(D27,Sheet1!$A$4:$H$18,8,FALSE),IF(H26="",VLOOKUP(D27,Sheet1!$A$4:$H$18,2,FALSE),"0")))</f>
        <v>0</v>
      </c>
      <c r="W27" s="201">
        <f t="shared" si="23"/>
        <v>0</v>
      </c>
      <c r="X27" s="208">
        <f t="shared" si="24"/>
        <v>3526</v>
      </c>
      <c r="Y27" s="171" t="str">
        <f t="shared" si="25"/>
        <v>SUCCESS</v>
      </c>
      <c r="Z27" s="171" t="str">
        <f t="shared" si="26"/>
        <v>SUCCESS</v>
      </c>
      <c r="AA27" s="185">
        <f t="shared" si="27"/>
        <v>150.34642032332562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ref="B28:B77" si="29">B27+A28</f>
        <v>9618</v>
      </c>
      <c r="C28" s="118">
        <f t="shared" ref="C28:C46" si="30">C27+G28</f>
        <v>63.480000000000004</v>
      </c>
      <c r="D28" s="181" t="s">
        <v>6</v>
      </c>
      <c r="E28" s="182">
        <f>IF(H27="AFIII",VLOOKUP($D28,Sheet1!$A$34:$K$48,5,FALSE),IF(H27="UBIII",VLOOKUP($D28,Sheet1!$A$34:$K$48,8,FALSE),VLOOKUP($D28,Sheet1!$A$34:$K$48,2,FALSE)))</f>
        <v>2.86</v>
      </c>
      <c r="F28" s="182">
        <f>ROUNDDOWN((IF(H27="AFIII",VLOOKUP($D28,Sheet1!$A$34:$K$48,5,FALSE),IF(H27="UBIII",VLOOKUP($D28,Sheet1!$A$34:$K$48,8,FALSE),VLOOKUP($D28,Sheet1!$A$34:$K$48,2,FALSE))))*0.85,2)</f>
        <v>2.4300000000000002</v>
      </c>
      <c r="G28" s="182">
        <f t="shared" ref="G28:G60" si="31">IF(M27="迅速",IF(S27="黒魔紋",$F$1,$E$1),IF(S27="黒魔紋",IF(F28&lt;$F$1,$F$1,F28),IF(E28&lt;$E$1,$E$1,E28)))</f>
        <v>2.86</v>
      </c>
      <c r="H28" s="183" t="s">
        <v>84</v>
      </c>
      <c r="I28" s="182">
        <f>I27-G28</f>
        <v>1.8900000000000001</v>
      </c>
      <c r="K28" s="182">
        <f t="shared" ref="K28:K29" si="32">K27-G28</f>
        <v>6.3900000000000006</v>
      </c>
      <c r="L28" s="182">
        <f t="shared" ref="L28:L47" si="33">L27-G28</f>
        <v>44.67</v>
      </c>
      <c r="O28" s="182">
        <f t="shared" ref="O28:O36" si="34">O27-G28</f>
        <v>30.89</v>
      </c>
      <c r="R28" s="182">
        <f t="shared" ref="R28:R33" si="35">R27-G28</f>
        <v>20.39</v>
      </c>
      <c r="V28" s="201">
        <f>IF(H27="AFIII",VLOOKUP(D28,Sheet1!$A$4:$H$18,5,FALSE),IF(H27="UBIII",VLOOKUP(D28,Sheet1!$A$4:$H$18,8,FALSE),IF(H27="",VLOOKUP(D28,Sheet1!$A$4:$H$18,2,FALSE),"0")))</f>
        <v>1768</v>
      </c>
      <c r="W28" s="201">
        <f t="shared" ref="W28:W77" si="36">IF(H27="UBIII",$X$2,0)</f>
        <v>0</v>
      </c>
      <c r="X28" s="208">
        <f t="shared" ref="X28:X77" si="37">IF(D28="フレア",IF(M28="コンバート",$X$1,0),IF(X27-V28+W28&gt;$X$3,$X$3-V28,X27-V28+W28))</f>
        <v>1758</v>
      </c>
      <c r="Y28" s="171" t="str">
        <f t="shared" ref="Y28:Y84" si="38">IF(X27-V28&lt;0,"ERROR","SUCCESS")</f>
        <v>SUCCESS</v>
      </c>
      <c r="Z28" s="171" t="str">
        <f t="shared" ref="Z28:Z84" si="39">IF(K27-G28&lt;0,"ERROR","SUCCESS")</f>
        <v>SUCCESS</v>
      </c>
      <c r="AA28" s="185">
        <f t="shared" ref="AA28:AA77" si="40">B28/C28</f>
        <v>151.51228733459357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168</v>
      </c>
      <c r="B29" s="113">
        <f t="shared" si="29"/>
        <v>9786</v>
      </c>
      <c r="C29" s="118">
        <f t="shared" si="30"/>
        <v>65.87</v>
      </c>
      <c r="D29" s="181" t="s">
        <v>12</v>
      </c>
      <c r="E29" s="182">
        <f>IF(H28="AFIII",VLOOKUP($D29,Sheet1!$A$34:$K$48,5,FALSE),IF(H28="UBIII",VLOOKUP($D29,Sheet1!$A$34:$K$48,8,FALSE),VLOOKUP($D29,Sheet1!$A$34:$K$48,2,FALSE)))</f>
        <v>1.67</v>
      </c>
      <c r="F29" s="182">
        <f>ROUNDDOWN((IF(H28="AFIII",VLOOKUP($D29,Sheet1!$A$34:$K$48,5,FALSE),IF(H28="UBIII",VLOOKUP($D29,Sheet1!$A$34:$K$48,8,FALSE),VLOOKUP($D29,Sheet1!$A$34:$K$48,2,FALSE))))*0.85,2)</f>
        <v>1.41</v>
      </c>
      <c r="G29" s="182">
        <f t="shared" si="31"/>
        <v>2.39</v>
      </c>
      <c r="H29" s="183" t="s">
        <v>122</v>
      </c>
      <c r="I29" s="182">
        <v>10</v>
      </c>
      <c r="K29" s="182">
        <f t="shared" si="32"/>
        <v>4</v>
      </c>
      <c r="L29" s="182">
        <f t="shared" si="33"/>
        <v>42.28</v>
      </c>
      <c r="O29" s="182">
        <f t="shared" si="34"/>
        <v>28.5</v>
      </c>
      <c r="R29" s="182">
        <f t="shared" si="35"/>
        <v>18</v>
      </c>
      <c r="S29" s="183" t="s">
        <v>221</v>
      </c>
      <c r="T29" s="182">
        <v>30</v>
      </c>
      <c r="U29" s="184">
        <v>90</v>
      </c>
      <c r="V29" s="201">
        <f>IF(H28="AFIII",VLOOKUP(D29,Sheet1!$A$4:$H$18,5,FALSE),IF(H28="UBIII",VLOOKUP(D29,Sheet1!$A$4:$H$18,8,FALSE),IF(H28="",VLOOKUP(D29,Sheet1!$A$4:$H$18,2,FALSE),"0")))</f>
        <v>265</v>
      </c>
      <c r="W29" s="201">
        <f t="shared" si="36"/>
        <v>0</v>
      </c>
      <c r="X29" s="208">
        <f t="shared" si="37"/>
        <v>1493</v>
      </c>
      <c r="Y29" s="171" t="str">
        <f t="shared" si="38"/>
        <v>SUCCESS</v>
      </c>
      <c r="Z29" s="171" t="str">
        <f t="shared" si="39"/>
        <v>SUCCESS</v>
      </c>
      <c r="AA29" s="185">
        <f t="shared" si="40"/>
        <v>148.56535600425079</v>
      </c>
    </row>
    <row r="30" spans="1:27">
      <c r="A30" s="119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280</v>
      </c>
      <c r="B30" s="120">
        <f t="shared" si="29"/>
        <v>10066</v>
      </c>
      <c r="C30" s="121">
        <f t="shared" si="30"/>
        <v>68.300000000000011</v>
      </c>
      <c r="D30" s="191" t="s">
        <v>14</v>
      </c>
      <c r="E30" s="192">
        <f>IF(H29="AFIII",VLOOKUP($D30,Sheet1!$A$34:$K$48,5,FALSE),IF(H29="UBIII",VLOOKUP($D30,Sheet1!$A$34:$K$48,8,FALSE),VLOOKUP($D30,Sheet1!$A$34:$K$48,2,FALSE)))</f>
        <v>2.86</v>
      </c>
      <c r="F30" s="192">
        <f>ROUNDDOWN((IF(H29="AFIII",VLOOKUP($D30,Sheet1!$A$34:$K$48,5,FALSE),IF(H29="UBIII",VLOOKUP($D30,Sheet1!$A$34:$K$48,8,FALSE),VLOOKUP($D30,Sheet1!$A$34:$K$48,2,FALSE))))*0.85,2)</f>
        <v>2.4300000000000002</v>
      </c>
      <c r="G30" s="192">
        <f t="shared" si="31"/>
        <v>2.4300000000000002</v>
      </c>
      <c r="H30" s="193" t="s">
        <v>122</v>
      </c>
      <c r="I30" s="192">
        <f>I29-G30</f>
        <v>7.57</v>
      </c>
      <c r="J30" s="193"/>
      <c r="K30" s="192">
        <v>20</v>
      </c>
      <c r="L30" s="192">
        <f t="shared" si="33"/>
        <v>39.85</v>
      </c>
      <c r="M30" s="193"/>
      <c r="N30" s="192"/>
      <c r="O30" s="192">
        <f t="shared" si="34"/>
        <v>26.07</v>
      </c>
      <c r="P30" s="193"/>
      <c r="Q30" s="192"/>
      <c r="R30" s="192">
        <f t="shared" si="35"/>
        <v>15.57</v>
      </c>
      <c r="S30" s="193" t="s">
        <v>217</v>
      </c>
      <c r="T30" s="192">
        <f t="shared" ref="T30:T42" si="41">T29-G30</f>
        <v>27.57</v>
      </c>
      <c r="U30" s="194">
        <f t="shared" ref="U30:U66" si="42">U29-G30</f>
        <v>87.57</v>
      </c>
      <c r="V30" s="211">
        <f>IF(H29="AFIII",VLOOKUP(D30,Sheet1!$A$4:$H$18,5,FALSE),IF(H29="UBIII",VLOOKUP(D30,Sheet1!$A$4:$H$18,8,FALSE),IF(H29="",VLOOKUP(D30,Sheet1!$A$4:$H$18,2,FALSE),"0")))</f>
        <v>884</v>
      </c>
      <c r="W30" s="211">
        <f t="shared" si="36"/>
        <v>7033</v>
      </c>
      <c r="X30" s="212">
        <f t="shared" si="37"/>
        <v>7642</v>
      </c>
      <c r="Y30" s="195" t="str">
        <f t="shared" si="38"/>
        <v>SUCCESS</v>
      </c>
      <c r="Z30" s="195" t="str">
        <f t="shared" si="39"/>
        <v>SUCCESS</v>
      </c>
      <c r="AA30" s="185">
        <f t="shared" si="40"/>
        <v>147.37920937042458</v>
      </c>
    </row>
    <row r="31" spans="1:27">
      <c r="A31" s="112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168</v>
      </c>
      <c r="B31" s="113">
        <f t="shared" si="29"/>
        <v>10234</v>
      </c>
      <c r="C31" s="118">
        <f t="shared" si="30"/>
        <v>70.330000000000013</v>
      </c>
      <c r="D31" s="181" t="s">
        <v>3</v>
      </c>
      <c r="E31" s="182">
        <f>IF(H30="AFIII",VLOOKUP($D31,Sheet1!$A$34:$K$48,5,FALSE),IF(H30="UBIII",VLOOKUP($D31,Sheet1!$A$34:$K$48,8,FALSE),VLOOKUP($D31,Sheet1!$A$34:$K$48,2,FALSE)))</f>
        <v>1.67</v>
      </c>
      <c r="F31" s="182">
        <f>ROUNDDOWN((IF(H30="AFIII",VLOOKUP($D31,Sheet1!$A$34:$K$48,5,FALSE),IF(H30="UBIII",VLOOKUP($D31,Sheet1!$A$34:$K$48,8,FALSE),VLOOKUP($D31,Sheet1!$A$34:$K$48,2,FALSE))))*0.85,2)</f>
        <v>1.41</v>
      </c>
      <c r="G31" s="182">
        <f t="shared" si="31"/>
        <v>2.0299999999999998</v>
      </c>
      <c r="H31" s="183" t="s">
        <v>84</v>
      </c>
      <c r="I31" s="182">
        <v>10</v>
      </c>
      <c r="K31" s="182">
        <f>K30-G31</f>
        <v>17.97</v>
      </c>
      <c r="L31" s="182">
        <f t="shared" si="33"/>
        <v>37.82</v>
      </c>
      <c r="O31" s="182">
        <f t="shared" si="34"/>
        <v>24.04</v>
      </c>
      <c r="R31" s="182">
        <f t="shared" si="35"/>
        <v>13.540000000000001</v>
      </c>
      <c r="S31" s="183" t="s">
        <v>217</v>
      </c>
      <c r="T31" s="182">
        <f t="shared" si="41"/>
        <v>25.54</v>
      </c>
      <c r="U31" s="184">
        <f t="shared" si="42"/>
        <v>85.539999999999992</v>
      </c>
      <c r="V31" s="201">
        <f>IF(H30="AFIII",VLOOKUP(D31,Sheet1!$A$4:$H$18,5,FALSE),IF(H30="UBIII",VLOOKUP(D31,Sheet1!$A$4:$H$18,8,FALSE),IF(H30="",VLOOKUP(D31,Sheet1!$A$4:$H$18,2,FALSE),"0")))</f>
        <v>442</v>
      </c>
      <c r="W31" s="201">
        <f t="shared" si="36"/>
        <v>7033</v>
      </c>
      <c r="X31" s="208">
        <f t="shared" si="37"/>
        <v>10950</v>
      </c>
      <c r="Y31" s="171" t="str">
        <f t="shared" si="38"/>
        <v>SUCCESS</v>
      </c>
      <c r="Z31" s="171" t="str">
        <f t="shared" si="39"/>
        <v>SUCCESS</v>
      </c>
      <c r="AA31" s="185">
        <f t="shared" si="40"/>
        <v>145.51400540309965</v>
      </c>
    </row>
    <row r="32" spans="1:27">
      <c r="A32" s="11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504</v>
      </c>
      <c r="B32" s="113">
        <f t="shared" si="29"/>
        <v>10738</v>
      </c>
      <c r="C32" s="118">
        <f t="shared" si="30"/>
        <v>72.760000000000019</v>
      </c>
      <c r="D32" s="181" t="s">
        <v>5</v>
      </c>
      <c r="E32" s="182">
        <f>IF(H31="AFIII",VLOOKUP($D32,Sheet1!$A$34:$K$48,5,FALSE),IF(H31="UBIII",VLOOKUP($D32,Sheet1!$A$34:$K$48,8,FALSE),VLOOKUP($D32,Sheet1!$A$34:$K$48,2,FALSE)))</f>
        <v>2.86</v>
      </c>
      <c r="F32" s="182">
        <f>ROUNDDOWN((IF(H31="AFIII",VLOOKUP($D32,Sheet1!$A$34:$K$48,5,FALSE),IF(H31="UBIII",VLOOKUP($D32,Sheet1!$A$34:$K$48,8,FALSE),VLOOKUP($D32,Sheet1!$A$34:$K$48,2,FALSE))))*0.85,2)</f>
        <v>2.4300000000000002</v>
      </c>
      <c r="G32" s="182">
        <f t="shared" si="31"/>
        <v>2.4300000000000002</v>
      </c>
      <c r="H32" s="183" t="s">
        <v>84</v>
      </c>
      <c r="I32" s="182">
        <f>I31-G32</f>
        <v>7.57</v>
      </c>
      <c r="K32" s="182">
        <f t="shared" ref="K32:K37" si="43">K31-G32</f>
        <v>15.54</v>
      </c>
      <c r="L32" s="182">
        <f t="shared" si="33"/>
        <v>35.39</v>
      </c>
      <c r="O32" s="182">
        <f t="shared" si="34"/>
        <v>21.61</v>
      </c>
      <c r="R32" s="182">
        <f t="shared" si="35"/>
        <v>11.110000000000001</v>
      </c>
      <c r="S32" s="183" t="s">
        <v>217</v>
      </c>
      <c r="T32" s="182">
        <f t="shared" si="41"/>
        <v>23.11</v>
      </c>
      <c r="U32" s="184">
        <f t="shared" si="42"/>
        <v>83.109999999999985</v>
      </c>
      <c r="V32" s="201">
        <f>IF(H31="AFIII",VLOOKUP(D32,Sheet1!$A$4:$H$18,5,FALSE),IF(H31="UBIII",VLOOKUP(D32,Sheet1!$A$4:$H$18,8,FALSE),IF(H31="",VLOOKUP(D32,Sheet1!$A$4:$H$18,2,FALSE),"0")))</f>
        <v>1768</v>
      </c>
      <c r="W32" s="201">
        <f t="shared" si="36"/>
        <v>0</v>
      </c>
      <c r="X32" s="208">
        <f t="shared" si="37"/>
        <v>9182</v>
      </c>
      <c r="Y32" s="171" t="str">
        <f t="shared" si="38"/>
        <v>SUCCESS</v>
      </c>
      <c r="Z32" s="171" t="str">
        <f t="shared" si="39"/>
        <v>SUCCESS</v>
      </c>
      <c r="AA32" s="185">
        <f t="shared" si="40"/>
        <v>147.58108851017039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504</v>
      </c>
      <c r="B33" s="113">
        <f t="shared" si="29"/>
        <v>11242</v>
      </c>
      <c r="C33" s="118">
        <f t="shared" si="30"/>
        <v>75.190000000000026</v>
      </c>
      <c r="D33" s="181" t="s">
        <v>5</v>
      </c>
      <c r="E33" s="182">
        <f>IF(H32="AFIII",VLOOKUP($D33,Sheet1!$A$34:$K$48,5,FALSE),IF(H32="UBIII",VLOOKUP($D33,Sheet1!$A$34:$K$48,8,FALSE),VLOOKUP($D33,Sheet1!$A$34:$K$48,2,FALSE)))</f>
        <v>2.86</v>
      </c>
      <c r="F33" s="182">
        <f>ROUNDDOWN((IF(H32="AFIII",VLOOKUP($D33,Sheet1!$A$34:$K$48,5,FALSE),IF(H32="UBIII",VLOOKUP($D33,Sheet1!$A$34:$K$48,8,FALSE),VLOOKUP($D33,Sheet1!$A$34:$K$48,2,FALSE))))*0.85,2)</f>
        <v>2.4300000000000002</v>
      </c>
      <c r="G33" s="182">
        <f t="shared" si="31"/>
        <v>2.4300000000000002</v>
      </c>
      <c r="H33" s="183" t="s">
        <v>84</v>
      </c>
      <c r="I33" s="182">
        <f t="shared" ref="I33" si="44">I32-G33</f>
        <v>5.1400000000000006</v>
      </c>
      <c r="K33" s="182">
        <f t="shared" si="43"/>
        <v>13.11</v>
      </c>
      <c r="L33" s="182">
        <f t="shared" si="33"/>
        <v>32.96</v>
      </c>
      <c r="O33" s="182">
        <f t="shared" si="34"/>
        <v>19.18</v>
      </c>
      <c r="R33" s="182">
        <f t="shared" si="35"/>
        <v>8.6800000000000015</v>
      </c>
      <c r="S33" s="183" t="s">
        <v>217</v>
      </c>
      <c r="T33" s="182">
        <f t="shared" si="41"/>
        <v>20.68</v>
      </c>
      <c r="U33" s="184">
        <f t="shared" si="42"/>
        <v>80.679999999999978</v>
      </c>
      <c r="V33" s="201">
        <f>IF(H32="AFIII",VLOOKUP(D33,Sheet1!$A$4:$H$18,5,FALSE),IF(H32="UBIII",VLOOKUP(D33,Sheet1!$A$4:$H$18,8,FALSE),IF(H32="",VLOOKUP(D33,Sheet1!$A$4:$H$18,2,FALSE),"0")))</f>
        <v>1768</v>
      </c>
      <c r="W33" s="201">
        <f t="shared" si="36"/>
        <v>0</v>
      </c>
      <c r="X33" s="208">
        <f t="shared" si="37"/>
        <v>7414</v>
      </c>
      <c r="Y33" s="171" t="str">
        <f t="shared" si="38"/>
        <v>SUCCESS</v>
      </c>
      <c r="Z33" s="171" t="str">
        <f t="shared" si="39"/>
        <v>SUCCESS</v>
      </c>
      <c r="AA33" s="185">
        <f t="shared" si="40"/>
        <v>149.51456310679606</v>
      </c>
    </row>
    <row r="34" spans="1:27">
      <c r="A34" s="11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324</v>
      </c>
      <c r="B34" s="113">
        <f t="shared" si="29"/>
        <v>11566</v>
      </c>
      <c r="C34" s="118">
        <f t="shared" si="30"/>
        <v>77.220000000000027</v>
      </c>
      <c r="D34" s="181" t="s">
        <v>1</v>
      </c>
      <c r="E34" s="182">
        <f>IF(H33="AFIII",VLOOKUP($D34,Sheet1!$A$34:$K$48,5,FALSE),IF(H33="UBIII",VLOOKUP($D34,Sheet1!$A$34:$K$48,8,FALSE),VLOOKUP($D34,Sheet1!$A$34:$K$48,2,FALSE)))</f>
        <v>2.39</v>
      </c>
      <c r="F34" s="182">
        <f>ROUNDDOWN((IF(H33="AFIII",VLOOKUP($D34,Sheet1!$A$34:$K$48,5,FALSE),IF(H33="UBIII",VLOOKUP($D34,Sheet1!$A$34:$K$48,8,FALSE),VLOOKUP($D34,Sheet1!$A$34:$K$48,2,FALSE))))*0.85,2)</f>
        <v>2.0299999999999998</v>
      </c>
      <c r="G34" s="182">
        <f t="shared" si="31"/>
        <v>2.0299999999999998</v>
      </c>
      <c r="H34" s="183" t="s">
        <v>84</v>
      </c>
      <c r="I34" s="182">
        <v>10</v>
      </c>
      <c r="K34" s="182">
        <f t="shared" si="43"/>
        <v>11.08</v>
      </c>
      <c r="L34" s="182">
        <f t="shared" si="33"/>
        <v>30.93</v>
      </c>
      <c r="O34" s="182">
        <f t="shared" si="34"/>
        <v>17.149999999999999</v>
      </c>
      <c r="R34" s="182">
        <f>R33-G34</f>
        <v>6.6500000000000021</v>
      </c>
      <c r="S34" s="183" t="s">
        <v>217</v>
      </c>
      <c r="T34" s="182">
        <f t="shared" si="41"/>
        <v>18.649999999999999</v>
      </c>
      <c r="U34" s="184">
        <f t="shared" si="42"/>
        <v>78.649999999999977</v>
      </c>
      <c r="V34" s="201">
        <f>IF(H33="AFIII",VLOOKUP(D34,Sheet1!$A$4:$H$18,5,FALSE),IF(H33="UBIII",VLOOKUP(D34,Sheet1!$A$4:$H$18,8,FALSE),IF(H33="",VLOOKUP(D34,Sheet1!$A$4:$H$18,2,FALSE),"0")))</f>
        <v>2120</v>
      </c>
      <c r="W34" s="201">
        <f t="shared" si="36"/>
        <v>0</v>
      </c>
      <c r="X34" s="208">
        <f t="shared" si="37"/>
        <v>5294</v>
      </c>
      <c r="Y34" s="171" t="str">
        <f t="shared" si="38"/>
        <v>SUCCESS</v>
      </c>
      <c r="Z34" s="171" t="str">
        <f t="shared" si="39"/>
        <v>SUCCESS</v>
      </c>
      <c r="AA34" s="185">
        <f t="shared" si="40"/>
        <v>149.77984977984974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504</v>
      </c>
      <c r="B35" s="113">
        <f t="shared" si="29"/>
        <v>12070</v>
      </c>
      <c r="C35" s="118">
        <f t="shared" si="30"/>
        <v>79.650000000000034</v>
      </c>
      <c r="D35" s="181" t="s">
        <v>6</v>
      </c>
      <c r="E35" s="182">
        <f>IF(H34="AFIII",VLOOKUP($D35,Sheet1!$A$34:$K$48,5,FALSE),IF(H34="UBIII",VLOOKUP($D35,Sheet1!$A$34:$K$48,8,FALSE),VLOOKUP($D35,Sheet1!$A$34:$K$48,2,FALSE)))</f>
        <v>2.86</v>
      </c>
      <c r="F35" s="182">
        <f>ROUNDDOWN((IF(H34="AFIII",VLOOKUP($D35,Sheet1!$A$34:$K$48,5,FALSE),IF(H34="UBIII",VLOOKUP($D35,Sheet1!$A$34:$K$48,8,FALSE),VLOOKUP($D35,Sheet1!$A$34:$K$48,2,FALSE))))*0.85,2)</f>
        <v>2.4300000000000002</v>
      </c>
      <c r="G35" s="182">
        <f t="shared" si="31"/>
        <v>2.4300000000000002</v>
      </c>
      <c r="H35" s="183" t="s">
        <v>84</v>
      </c>
      <c r="I35" s="182">
        <f>I34-G35</f>
        <v>7.57</v>
      </c>
      <c r="K35" s="182">
        <f t="shared" si="43"/>
        <v>8.65</v>
      </c>
      <c r="L35" s="182">
        <f t="shared" si="33"/>
        <v>28.5</v>
      </c>
      <c r="O35" s="182">
        <f t="shared" si="34"/>
        <v>14.719999999999999</v>
      </c>
      <c r="R35" s="182">
        <f t="shared" ref="R35:R39" si="45">R34-G35</f>
        <v>4.2200000000000024</v>
      </c>
      <c r="S35" s="183" t="s">
        <v>217</v>
      </c>
      <c r="T35" s="182">
        <f t="shared" si="41"/>
        <v>16.22</v>
      </c>
      <c r="U35" s="184">
        <f t="shared" si="42"/>
        <v>76.21999999999997</v>
      </c>
      <c r="V35" s="201">
        <f>IF(H34="AFIII",VLOOKUP(D35,Sheet1!$A$4:$H$18,5,FALSE),IF(H34="UBIII",VLOOKUP(D35,Sheet1!$A$4:$H$18,8,FALSE),IF(H34="",VLOOKUP(D35,Sheet1!$A$4:$H$18,2,FALSE),"0")))</f>
        <v>1768</v>
      </c>
      <c r="W35" s="201">
        <f t="shared" si="36"/>
        <v>0</v>
      </c>
      <c r="X35" s="208">
        <f t="shared" si="37"/>
        <v>3526</v>
      </c>
      <c r="Y35" s="171" t="str">
        <f t="shared" si="38"/>
        <v>SUCCESS</v>
      </c>
      <c r="Z35" s="171" t="str">
        <f t="shared" si="39"/>
        <v>SUCCESS</v>
      </c>
      <c r="AA35" s="185">
        <f t="shared" si="40"/>
        <v>151.53797865662267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29"/>
        <v>12574</v>
      </c>
      <c r="C36" s="118">
        <f t="shared" si="30"/>
        <v>82.080000000000041</v>
      </c>
      <c r="D36" s="181" t="s">
        <v>6</v>
      </c>
      <c r="E36" s="182">
        <f>IF(H35="AFIII",VLOOKUP($D36,Sheet1!$A$34:$K$48,5,FALSE),IF(H35="UBIII",VLOOKUP($D36,Sheet1!$A$34:$K$48,8,FALSE),VLOOKUP($D36,Sheet1!$A$34:$K$48,2,FALSE)))</f>
        <v>2.86</v>
      </c>
      <c r="F36" s="182">
        <f>ROUNDDOWN((IF(H35="AFIII",VLOOKUP($D36,Sheet1!$A$34:$K$48,5,FALSE),IF(H35="UBIII",VLOOKUP($D36,Sheet1!$A$34:$K$48,8,FALSE),VLOOKUP($D36,Sheet1!$A$34:$K$48,2,FALSE))))*0.85,2)</f>
        <v>2.4300000000000002</v>
      </c>
      <c r="G36" s="182">
        <f t="shared" si="31"/>
        <v>2.4300000000000002</v>
      </c>
      <c r="H36" s="183" t="s">
        <v>84</v>
      </c>
      <c r="I36" s="182">
        <f>I35-G36</f>
        <v>5.1400000000000006</v>
      </c>
      <c r="K36" s="182">
        <f t="shared" si="43"/>
        <v>6.2200000000000006</v>
      </c>
      <c r="L36" s="182">
        <f t="shared" si="33"/>
        <v>26.07</v>
      </c>
      <c r="O36" s="182">
        <f t="shared" si="34"/>
        <v>12.29</v>
      </c>
      <c r="R36" s="182">
        <f t="shared" si="45"/>
        <v>1.7900000000000023</v>
      </c>
      <c r="S36" s="183" t="s">
        <v>217</v>
      </c>
      <c r="T36" s="182">
        <f t="shared" si="41"/>
        <v>13.79</v>
      </c>
      <c r="U36" s="184">
        <f t="shared" si="42"/>
        <v>73.789999999999964</v>
      </c>
      <c r="V36" s="201">
        <f>IF(H35="AFIII",VLOOKUP(D36,Sheet1!$A$4:$H$18,5,FALSE),IF(H35="UBIII",VLOOKUP(D36,Sheet1!$A$4:$H$18,8,FALSE),IF(H35="",VLOOKUP(D36,Sheet1!$A$4:$H$18,2,FALSE),"0")))</f>
        <v>1768</v>
      </c>
      <c r="W36" s="201">
        <f t="shared" si="36"/>
        <v>0</v>
      </c>
      <c r="X36" s="208">
        <f t="shared" si="37"/>
        <v>1758</v>
      </c>
      <c r="Y36" s="171" t="str">
        <f t="shared" si="38"/>
        <v>SUCCESS</v>
      </c>
      <c r="Z36" s="171" t="str">
        <f t="shared" si="39"/>
        <v>SUCCESS</v>
      </c>
      <c r="AA36" s="185">
        <f t="shared" si="40"/>
        <v>153.19200779727089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168</v>
      </c>
      <c r="B37" s="113">
        <f t="shared" si="29"/>
        <v>12742</v>
      </c>
      <c r="C37" s="118">
        <f t="shared" si="30"/>
        <v>84.110000000000042</v>
      </c>
      <c r="D37" s="181" t="s">
        <v>12</v>
      </c>
      <c r="E37" s="182">
        <f>IF(H36="AFIII",VLOOKUP($D37,Sheet1!$A$34:$K$48,5,FALSE),IF(H36="UBIII",VLOOKUP($D37,Sheet1!$A$34:$K$48,8,FALSE),VLOOKUP($D37,Sheet1!$A$34:$K$48,2,FALSE)))</f>
        <v>1.67</v>
      </c>
      <c r="F37" s="182">
        <f>ROUNDDOWN((IF(H36="AFIII",VLOOKUP($D37,Sheet1!$A$34:$K$48,5,FALSE),IF(H36="UBIII",VLOOKUP($D37,Sheet1!$A$34:$K$48,8,FALSE),VLOOKUP($D37,Sheet1!$A$34:$K$48,2,FALSE))))*0.85,2)</f>
        <v>1.41</v>
      </c>
      <c r="G37" s="182">
        <f t="shared" si="31"/>
        <v>2.0299999999999998</v>
      </c>
      <c r="H37" s="183" t="s">
        <v>122</v>
      </c>
      <c r="I37" s="182">
        <v>10</v>
      </c>
      <c r="K37" s="182">
        <f t="shared" si="43"/>
        <v>4.1900000000000013</v>
      </c>
      <c r="L37" s="182">
        <f t="shared" si="33"/>
        <v>24.04</v>
      </c>
      <c r="O37" s="182">
        <f>O36-G37</f>
        <v>10.26</v>
      </c>
      <c r="P37" s="183" t="s">
        <v>136</v>
      </c>
      <c r="R37" s="182">
        <f t="shared" si="45"/>
        <v>-0.23999999999999755</v>
      </c>
      <c r="S37" s="183" t="s">
        <v>217</v>
      </c>
      <c r="T37" s="182">
        <f t="shared" si="41"/>
        <v>11.76</v>
      </c>
      <c r="U37" s="184">
        <f t="shared" si="42"/>
        <v>71.759999999999962</v>
      </c>
      <c r="V37" s="201">
        <f>IF(H36="AFIII",VLOOKUP(D37,Sheet1!$A$4:$H$18,5,FALSE),IF(H36="UBIII",VLOOKUP(D37,Sheet1!$A$4:$H$18,8,FALSE),IF(H36="",VLOOKUP(D37,Sheet1!$A$4:$H$18,2,FALSE),"0")))</f>
        <v>265</v>
      </c>
      <c r="W37" s="201">
        <f t="shared" si="36"/>
        <v>0</v>
      </c>
      <c r="X37" s="208">
        <f t="shared" si="37"/>
        <v>1493</v>
      </c>
      <c r="Y37" s="171" t="str">
        <f t="shared" si="38"/>
        <v>SUCCESS</v>
      </c>
      <c r="Z37" s="171" t="str">
        <f t="shared" si="39"/>
        <v>SUCCESS</v>
      </c>
      <c r="AA37" s="185">
        <f t="shared" si="40"/>
        <v>151.49209368683859</v>
      </c>
    </row>
    <row r="38" spans="1:27">
      <c r="A38" s="119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280</v>
      </c>
      <c r="B38" s="120">
        <f t="shared" si="29"/>
        <v>13022</v>
      </c>
      <c r="C38" s="121">
        <f t="shared" si="30"/>
        <v>86.540000000000049</v>
      </c>
      <c r="D38" s="191" t="s">
        <v>14</v>
      </c>
      <c r="E38" s="192">
        <f>IF(H37="AFIII",VLOOKUP($D38,Sheet1!$A$34:$K$48,5,FALSE),IF(H37="UBIII",VLOOKUP($D38,Sheet1!$A$34:$K$48,8,FALSE),VLOOKUP($D38,Sheet1!$A$34:$K$48,2,FALSE)))</f>
        <v>2.86</v>
      </c>
      <c r="F38" s="192">
        <f>ROUNDDOWN((IF(H37="AFIII",VLOOKUP($D38,Sheet1!$A$34:$K$48,5,FALSE),IF(H37="UBIII",VLOOKUP($D38,Sheet1!$A$34:$K$48,8,FALSE),VLOOKUP($D38,Sheet1!$A$34:$K$48,2,FALSE))))*0.85,2)</f>
        <v>2.4300000000000002</v>
      </c>
      <c r="G38" s="192">
        <f t="shared" si="31"/>
        <v>2.4300000000000002</v>
      </c>
      <c r="H38" s="193" t="s">
        <v>122</v>
      </c>
      <c r="I38" s="192">
        <f>I37-G38</f>
        <v>7.57</v>
      </c>
      <c r="J38" s="193"/>
      <c r="K38" s="192">
        <v>15</v>
      </c>
      <c r="L38" s="192">
        <f t="shared" si="33"/>
        <v>21.61</v>
      </c>
      <c r="M38" s="193"/>
      <c r="N38" s="192"/>
      <c r="O38" s="192">
        <f t="shared" ref="O38:O42" si="46">O37-G38</f>
        <v>7.83</v>
      </c>
      <c r="P38" s="193"/>
      <c r="Q38" s="192"/>
      <c r="R38" s="192">
        <f t="shared" si="45"/>
        <v>-2.6699999999999977</v>
      </c>
      <c r="S38" s="193" t="s">
        <v>217</v>
      </c>
      <c r="T38" s="192">
        <f t="shared" si="41"/>
        <v>9.33</v>
      </c>
      <c r="U38" s="194">
        <f t="shared" si="42"/>
        <v>69.329999999999956</v>
      </c>
      <c r="V38" s="211">
        <f>IF(H37="AFIII",VLOOKUP(D38,Sheet1!$A$4:$H$18,5,FALSE),IF(H37="UBIII",VLOOKUP(D38,Sheet1!$A$4:$H$18,8,FALSE),IF(H37="",VLOOKUP(D38,Sheet1!$A$4:$H$18,2,FALSE),"0")))</f>
        <v>884</v>
      </c>
      <c r="W38" s="211">
        <f t="shared" si="36"/>
        <v>7033</v>
      </c>
      <c r="X38" s="212">
        <f t="shared" si="37"/>
        <v>7642</v>
      </c>
      <c r="Y38" s="195" t="str">
        <f t="shared" si="38"/>
        <v>SUCCESS</v>
      </c>
      <c r="Z38" s="195" t="str">
        <f t="shared" si="39"/>
        <v>SUCCESS</v>
      </c>
      <c r="AA38" s="185">
        <f t="shared" si="40"/>
        <v>150.47376935521137</v>
      </c>
    </row>
    <row r="39" spans="1:27">
      <c r="A39" s="112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168</v>
      </c>
      <c r="B39" s="113">
        <f t="shared" si="29"/>
        <v>13190</v>
      </c>
      <c r="C39" s="118">
        <f t="shared" si="30"/>
        <v>88.57000000000005</v>
      </c>
      <c r="D39" s="181" t="s">
        <v>4</v>
      </c>
      <c r="E39" s="182">
        <f>IF(H38="AFIII",VLOOKUP($D39,Sheet1!$A$34:$K$48,5,FALSE),IF(H38="UBIII",VLOOKUP($D39,Sheet1!$A$34:$K$48,8,FALSE),VLOOKUP($D39,Sheet1!$A$34:$K$48,2,FALSE)))</f>
        <v>1.67</v>
      </c>
      <c r="F39" s="182">
        <f>ROUNDDOWN((IF(H38="AFIII",VLOOKUP($D39,Sheet1!$A$34:$K$48,5,FALSE),IF(H38="UBIII",VLOOKUP($D39,Sheet1!$A$34:$K$48,8,FALSE),VLOOKUP($D39,Sheet1!$A$34:$K$48,2,FALSE))))*0.85,2)</f>
        <v>1.41</v>
      </c>
      <c r="G39" s="182">
        <f t="shared" si="31"/>
        <v>2.0299999999999998</v>
      </c>
      <c r="H39" s="183" t="s">
        <v>84</v>
      </c>
      <c r="I39" s="182">
        <v>10</v>
      </c>
      <c r="K39" s="182">
        <f t="shared" ref="K39:K47" si="47">K38-G39</f>
        <v>12.97</v>
      </c>
      <c r="L39" s="182">
        <f t="shared" si="33"/>
        <v>19.579999999999998</v>
      </c>
      <c r="O39" s="182">
        <f t="shared" si="46"/>
        <v>5.8000000000000007</v>
      </c>
      <c r="R39" s="182">
        <f t="shared" si="45"/>
        <v>-4.6999999999999975</v>
      </c>
      <c r="S39" s="183" t="s">
        <v>217</v>
      </c>
      <c r="T39" s="182">
        <f t="shared" si="41"/>
        <v>7.3000000000000007</v>
      </c>
      <c r="U39" s="184">
        <f t="shared" si="42"/>
        <v>67.299999999999955</v>
      </c>
      <c r="V39" s="201">
        <f>IF(H38="AFIII",VLOOKUP(D39,Sheet1!$A$4:$H$18,5,FALSE),IF(H38="UBIII",VLOOKUP(D39,Sheet1!$A$4:$H$18,8,FALSE),IF(H38="",VLOOKUP(D39,Sheet1!$A$4:$H$18,2,FALSE),"0")))</f>
        <v>442</v>
      </c>
      <c r="W39" s="201">
        <f t="shared" si="36"/>
        <v>7033</v>
      </c>
      <c r="X39" s="208">
        <f t="shared" si="37"/>
        <v>10950</v>
      </c>
      <c r="Y39" s="171" t="str">
        <f t="shared" si="38"/>
        <v>SUCCESS</v>
      </c>
      <c r="Z39" s="171" t="str">
        <f t="shared" si="39"/>
        <v>SUCCESS</v>
      </c>
      <c r="AA39" s="185">
        <f t="shared" si="40"/>
        <v>148.92175680252899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504</v>
      </c>
      <c r="B40" s="113">
        <f t="shared" si="29"/>
        <v>13694</v>
      </c>
      <c r="C40" s="118">
        <f t="shared" si="30"/>
        <v>91.000000000000057</v>
      </c>
      <c r="D40" s="181" t="s">
        <v>6</v>
      </c>
      <c r="E40" s="182">
        <f>IF(H39="AFIII",VLOOKUP($D40,Sheet1!$A$34:$K$48,5,FALSE),IF(H39="UBIII",VLOOKUP($D40,Sheet1!$A$34:$K$48,8,FALSE),VLOOKUP($D40,Sheet1!$A$34:$K$48,2,FALSE)))</f>
        <v>2.86</v>
      </c>
      <c r="F40" s="182">
        <f>ROUNDDOWN((IF(H39="AFIII",VLOOKUP($D40,Sheet1!$A$34:$K$48,5,FALSE),IF(H39="UBIII",VLOOKUP($D40,Sheet1!$A$34:$K$48,8,FALSE),VLOOKUP($D40,Sheet1!$A$34:$K$48,2,FALSE))))*0.85,2)</f>
        <v>2.4300000000000002</v>
      </c>
      <c r="G40" s="182">
        <f t="shared" si="31"/>
        <v>2.4300000000000002</v>
      </c>
      <c r="H40" s="183" t="s">
        <v>84</v>
      </c>
      <c r="I40" s="182">
        <f>I39-G40</f>
        <v>7.57</v>
      </c>
      <c r="K40" s="182">
        <f t="shared" si="47"/>
        <v>10.540000000000001</v>
      </c>
      <c r="L40" s="182">
        <f t="shared" si="33"/>
        <v>17.149999999999999</v>
      </c>
      <c r="O40" s="182">
        <f t="shared" si="46"/>
        <v>3.3700000000000006</v>
      </c>
      <c r="R40" s="182">
        <f>R39-G40</f>
        <v>-7.1299999999999972</v>
      </c>
      <c r="S40" s="183" t="s">
        <v>221</v>
      </c>
      <c r="T40" s="182">
        <f t="shared" si="41"/>
        <v>4.870000000000001</v>
      </c>
      <c r="U40" s="184">
        <f t="shared" si="42"/>
        <v>64.869999999999948</v>
      </c>
      <c r="V40" s="201">
        <f>IF(H39="AFIII",VLOOKUP(D40,Sheet1!$A$4:$H$18,5,FALSE),IF(H39="UBIII",VLOOKUP(D40,Sheet1!$A$4:$H$18,8,FALSE),IF(H39="",VLOOKUP(D40,Sheet1!$A$4:$H$18,2,FALSE),"0")))</f>
        <v>1768</v>
      </c>
      <c r="W40" s="201">
        <f t="shared" si="36"/>
        <v>0</v>
      </c>
      <c r="X40" s="208">
        <f t="shared" si="37"/>
        <v>9182</v>
      </c>
      <c r="Y40" s="171" t="str">
        <f t="shared" si="38"/>
        <v>SUCCESS</v>
      </c>
      <c r="Z40" s="171" t="str">
        <f t="shared" si="39"/>
        <v>SUCCESS</v>
      </c>
      <c r="AA40" s="185">
        <f t="shared" si="40"/>
        <v>150.48351648351638</v>
      </c>
    </row>
    <row r="41" spans="1:27">
      <c r="A41" s="112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504</v>
      </c>
      <c r="B41" s="113">
        <f t="shared" si="29"/>
        <v>14198</v>
      </c>
      <c r="C41" s="118">
        <f t="shared" si="30"/>
        <v>93.430000000000064</v>
      </c>
      <c r="D41" s="181" t="s">
        <v>6</v>
      </c>
      <c r="E41" s="182">
        <f>IF(H40="AFIII",VLOOKUP($D41,Sheet1!$A$34:$K$48,5,FALSE),IF(H40="UBIII",VLOOKUP($D41,Sheet1!$A$34:$K$48,8,FALSE),VLOOKUP($D41,Sheet1!$A$34:$K$48,2,FALSE)))</f>
        <v>2.86</v>
      </c>
      <c r="F41" s="182">
        <f>ROUNDDOWN((IF(H40="AFIII",VLOOKUP($D41,Sheet1!$A$34:$K$48,5,FALSE),IF(H40="UBIII",VLOOKUP($D41,Sheet1!$A$34:$K$48,8,FALSE),VLOOKUP($D41,Sheet1!$A$34:$K$48,2,FALSE))))*0.85,2)</f>
        <v>2.4300000000000002</v>
      </c>
      <c r="G41" s="182">
        <f t="shared" si="31"/>
        <v>2.4300000000000002</v>
      </c>
      <c r="H41" s="183" t="s">
        <v>84</v>
      </c>
      <c r="I41" s="182">
        <f>I40-G41</f>
        <v>5.1400000000000006</v>
      </c>
      <c r="K41" s="182">
        <f t="shared" si="47"/>
        <v>8.1100000000000012</v>
      </c>
      <c r="L41" s="182">
        <f t="shared" si="33"/>
        <v>14.719999999999999</v>
      </c>
      <c r="O41" s="182">
        <f t="shared" si="46"/>
        <v>0.94000000000000039</v>
      </c>
      <c r="P41" s="183" t="s">
        <v>219</v>
      </c>
      <c r="R41" s="182">
        <v>60</v>
      </c>
      <c r="S41" s="183" t="s">
        <v>221</v>
      </c>
      <c r="T41" s="182">
        <f t="shared" si="41"/>
        <v>2.4400000000000008</v>
      </c>
      <c r="U41" s="184">
        <f t="shared" si="42"/>
        <v>62.439999999999948</v>
      </c>
      <c r="V41" s="201">
        <f>IF(H40="AFIII",VLOOKUP(D41,Sheet1!$A$4:$H$18,5,FALSE),IF(H40="UBIII",VLOOKUP(D41,Sheet1!$A$4:$H$18,8,FALSE),IF(H40="",VLOOKUP(D41,Sheet1!$A$4:$H$18,2,FALSE),"0")))</f>
        <v>1768</v>
      </c>
      <c r="W41" s="201">
        <f t="shared" si="36"/>
        <v>0</v>
      </c>
      <c r="X41" s="208">
        <f t="shared" si="37"/>
        <v>7414</v>
      </c>
      <c r="Y41" s="171" t="str">
        <f t="shared" si="38"/>
        <v>SUCCESS</v>
      </c>
      <c r="Z41" s="171" t="str">
        <f t="shared" si="39"/>
        <v>SUCCESS</v>
      </c>
      <c r="AA41" s="185">
        <f t="shared" si="40"/>
        <v>151.96403724713679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324</v>
      </c>
      <c r="B42" s="113">
        <f t="shared" si="29"/>
        <v>14522</v>
      </c>
      <c r="C42" s="118">
        <f t="shared" si="30"/>
        <v>95.460000000000065</v>
      </c>
      <c r="D42" s="181" t="s">
        <v>1</v>
      </c>
      <c r="E42" s="182">
        <f>IF(H41="AFIII",VLOOKUP($D42,Sheet1!$A$34:$K$48,5,FALSE),IF(H41="UBIII",VLOOKUP($D42,Sheet1!$A$34:$K$48,8,FALSE),VLOOKUP($D42,Sheet1!$A$34:$K$48,2,FALSE)))</f>
        <v>2.39</v>
      </c>
      <c r="F42" s="182">
        <f>ROUNDDOWN((IF(H41="AFIII",VLOOKUP($D42,Sheet1!$A$34:$K$48,5,FALSE),IF(H41="UBIII",VLOOKUP($D42,Sheet1!$A$34:$K$48,8,FALSE),VLOOKUP($D42,Sheet1!$A$34:$K$48,2,FALSE))))*0.85,2)</f>
        <v>2.0299999999999998</v>
      </c>
      <c r="G42" s="182">
        <f t="shared" si="31"/>
        <v>2.0299999999999998</v>
      </c>
      <c r="H42" s="183" t="s">
        <v>84</v>
      </c>
      <c r="I42" s="182">
        <v>10</v>
      </c>
      <c r="K42" s="182">
        <f t="shared" si="47"/>
        <v>6.0800000000000018</v>
      </c>
      <c r="L42" s="182">
        <f t="shared" si="33"/>
        <v>12.69</v>
      </c>
      <c r="M42" s="183" t="s">
        <v>225</v>
      </c>
      <c r="O42" s="182">
        <f t="shared" si="46"/>
        <v>-1.0899999999999994</v>
      </c>
      <c r="R42" s="182">
        <f t="shared" ref="R42:R64" si="48">R41-G42</f>
        <v>57.97</v>
      </c>
      <c r="T42" s="182">
        <f t="shared" si="41"/>
        <v>0.41000000000000103</v>
      </c>
      <c r="U42" s="184">
        <f t="shared" si="42"/>
        <v>60.409999999999947</v>
      </c>
      <c r="V42" s="201">
        <f>IF(H41="AFIII",VLOOKUP(D42,Sheet1!$A$4:$H$18,5,FALSE),IF(H41="UBIII",VLOOKUP(D42,Sheet1!$A$4:$H$18,8,FALSE),IF(H41="",VLOOKUP(D42,Sheet1!$A$4:$H$18,2,FALSE),"0")))</f>
        <v>2120</v>
      </c>
      <c r="W42" s="201">
        <f t="shared" si="36"/>
        <v>0</v>
      </c>
      <c r="X42" s="208">
        <f t="shared" si="37"/>
        <v>5294</v>
      </c>
      <c r="Y42" s="171" t="str">
        <f t="shared" si="38"/>
        <v>SUCCESS</v>
      </c>
      <c r="Z42" s="171" t="str">
        <f t="shared" si="39"/>
        <v>SUCCESS</v>
      </c>
      <c r="AA42" s="185">
        <f t="shared" si="40"/>
        <v>152.12654514980085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504</v>
      </c>
      <c r="B43" s="113">
        <f t="shared" si="29"/>
        <v>15026</v>
      </c>
      <c r="C43" s="118">
        <f t="shared" si="30"/>
        <v>98.320000000000064</v>
      </c>
      <c r="D43" s="181" t="s">
        <v>6</v>
      </c>
      <c r="E43" s="182">
        <f>IF(H42="AFIII",VLOOKUP($D43,Sheet1!$A$34:$K$48,5,FALSE),IF(H42="UBIII",VLOOKUP($D43,Sheet1!$A$34:$K$48,8,FALSE),VLOOKUP($D43,Sheet1!$A$34:$K$48,2,FALSE)))</f>
        <v>2.86</v>
      </c>
      <c r="F43" s="182">
        <f>ROUNDDOWN((IF(H42="AFIII",VLOOKUP($D43,Sheet1!$A$34:$K$48,5,FALSE),IF(H42="UBIII",VLOOKUP($D43,Sheet1!$A$34:$K$48,8,FALSE),VLOOKUP($D43,Sheet1!$A$34:$K$48,2,FALSE))))*0.85,2)</f>
        <v>2.4300000000000002</v>
      </c>
      <c r="G43" s="182">
        <f t="shared" si="31"/>
        <v>2.86</v>
      </c>
      <c r="H43" s="183" t="s">
        <v>84</v>
      </c>
      <c r="I43" s="182">
        <f>I42-G43</f>
        <v>7.1400000000000006</v>
      </c>
      <c r="K43" s="182">
        <f t="shared" si="47"/>
        <v>3.220000000000002</v>
      </c>
      <c r="L43" s="182">
        <f t="shared" si="33"/>
        <v>9.83</v>
      </c>
      <c r="M43" s="183" t="s">
        <v>218</v>
      </c>
      <c r="O43" s="182">
        <v>60</v>
      </c>
      <c r="R43" s="182">
        <f t="shared" si="48"/>
        <v>55.11</v>
      </c>
      <c r="U43" s="184">
        <f t="shared" si="42"/>
        <v>57.549999999999947</v>
      </c>
      <c r="V43" s="201">
        <f>IF(H42="AFIII",VLOOKUP(D43,Sheet1!$A$4:$H$18,5,FALSE),IF(H42="UBIII",VLOOKUP(D43,Sheet1!$A$4:$H$18,8,FALSE),IF(H42="",VLOOKUP(D43,Sheet1!$A$4:$H$18,2,FALSE),"0")))</f>
        <v>1768</v>
      </c>
      <c r="W43" s="201">
        <f t="shared" si="36"/>
        <v>0</v>
      </c>
      <c r="X43" s="208">
        <f t="shared" si="37"/>
        <v>3526</v>
      </c>
      <c r="Y43" s="171" t="str">
        <f t="shared" si="38"/>
        <v>SUCCESS</v>
      </c>
      <c r="Z43" s="171" t="str">
        <f t="shared" si="39"/>
        <v>SUCCESS</v>
      </c>
      <c r="AA43" s="185">
        <f t="shared" si="40"/>
        <v>152.82750203417402</v>
      </c>
    </row>
    <row r="44" spans="1:27">
      <c r="A44" s="112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504</v>
      </c>
      <c r="B44" s="113">
        <f t="shared" si="29"/>
        <v>15530</v>
      </c>
      <c r="C44" s="118">
        <f t="shared" si="30"/>
        <v>100.71000000000006</v>
      </c>
      <c r="D44" s="181" t="s">
        <v>6</v>
      </c>
      <c r="E44" s="182">
        <f>IF(H43="AFIII",VLOOKUP($D44,Sheet1!$A$34:$K$48,5,FALSE),IF(H43="UBIII",VLOOKUP($D44,Sheet1!$A$34:$K$48,8,FALSE),VLOOKUP($D44,Sheet1!$A$34:$K$48,2,FALSE)))</f>
        <v>2.86</v>
      </c>
      <c r="F44" s="182">
        <f>ROUNDDOWN((IF(H43="AFIII",VLOOKUP($D44,Sheet1!$A$34:$K$48,5,FALSE),IF(H43="UBIII",VLOOKUP($D44,Sheet1!$A$34:$K$48,8,FALSE),VLOOKUP($D44,Sheet1!$A$34:$K$48,2,FALSE))))*0.85,2)</f>
        <v>2.4300000000000002</v>
      </c>
      <c r="G44" s="182">
        <f t="shared" si="31"/>
        <v>2.39</v>
      </c>
      <c r="H44" s="183" t="s">
        <v>84</v>
      </c>
      <c r="I44" s="182">
        <f t="shared" ref="I44" si="49">I43-G44</f>
        <v>4.75</v>
      </c>
      <c r="K44" s="182">
        <f t="shared" si="47"/>
        <v>0.83000000000000185</v>
      </c>
      <c r="L44" s="182">
        <f t="shared" si="33"/>
        <v>7.4399999999999995</v>
      </c>
      <c r="O44" s="182">
        <f>O43-G44</f>
        <v>57.61</v>
      </c>
      <c r="R44" s="182">
        <f t="shared" si="48"/>
        <v>52.72</v>
      </c>
      <c r="U44" s="184">
        <f t="shared" si="42"/>
        <v>55.159999999999947</v>
      </c>
      <c r="V44" s="201">
        <f>IF(H43="AFIII",VLOOKUP(D44,Sheet1!$A$4:$H$18,5,FALSE),IF(H43="UBIII",VLOOKUP(D44,Sheet1!$A$4:$H$18,8,FALSE),IF(H43="",VLOOKUP(D44,Sheet1!$A$4:$H$18,2,FALSE),"0")))</f>
        <v>1768</v>
      </c>
      <c r="W44" s="201">
        <f t="shared" si="36"/>
        <v>0</v>
      </c>
      <c r="X44" s="208">
        <f t="shared" si="37"/>
        <v>1758</v>
      </c>
      <c r="Y44" s="171" t="str">
        <f t="shared" si="38"/>
        <v>SUCCESS</v>
      </c>
      <c r="Z44" s="171" t="str">
        <f t="shared" si="39"/>
        <v>SUCCESS</v>
      </c>
      <c r="AA44" s="185">
        <f t="shared" si="40"/>
        <v>154.20514348128279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432</v>
      </c>
      <c r="B45" s="113">
        <f t="shared" si="29"/>
        <v>15962</v>
      </c>
      <c r="C45" s="118">
        <f t="shared" si="30"/>
        <v>103.10000000000007</v>
      </c>
      <c r="D45" s="181" t="s">
        <v>129</v>
      </c>
      <c r="E45" s="182">
        <f>IF(H44="AFIII",VLOOKUP($D45,Sheet1!$A$34:$K$48,5,FALSE),IF(H44="UBIII",VLOOKUP($D45,Sheet1!$A$34:$K$48,8,FALSE),VLOOKUP($D45,Sheet1!$A$34:$K$48,2,FALSE)))</f>
        <v>2.39</v>
      </c>
      <c r="F45" s="182">
        <f>ROUNDDOWN((IF(H44="AFIII",VLOOKUP($D45,Sheet1!$A$34:$K$48,5,FALSE),IF(H44="UBIII",VLOOKUP($D45,Sheet1!$A$34:$K$48,8,FALSE),VLOOKUP($D45,Sheet1!$A$34:$K$48,2,FALSE))))*0.85,2)</f>
        <v>2.0299999999999998</v>
      </c>
      <c r="G45" s="182">
        <f t="shared" si="31"/>
        <v>2.39</v>
      </c>
      <c r="H45" s="183" t="s">
        <v>84</v>
      </c>
      <c r="I45" s="182">
        <v>10</v>
      </c>
      <c r="K45" s="182">
        <f t="shared" si="47"/>
        <v>-1.5599999999999983</v>
      </c>
      <c r="L45" s="182">
        <f t="shared" si="33"/>
        <v>5.0499999999999989</v>
      </c>
      <c r="O45" s="182">
        <f t="shared" ref="O45:O58" si="50">O44-G45</f>
        <v>55.22</v>
      </c>
      <c r="R45" s="182">
        <f t="shared" si="48"/>
        <v>50.33</v>
      </c>
      <c r="U45" s="184">
        <f t="shared" si="42"/>
        <v>52.769999999999946</v>
      </c>
      <c r="V45" s="201">
        <f>IF(H44="AFIII",VLOOKUP(D45,Sheet1!$A$4:$H$18,5,FALSE),IF(H44="UBIII",VLOOKUP(D45,Sheet1!$A$4:$H$18,8,FALSE),IF(H44="",VLOOKUP(D45,Sheet1!$A$4:$H$18,2,FALSE),"0")))</f>
        <v>0</v>
      </c>
      <c r="W45" s="201">
        <f t="shared" si="36"/>
        <v>0</v>
      </c>
      <c r="X45" s="208">
        <f t="shared" si="37"/>
        <v>1758</v>
      </c>
      <c r="Y45" s="171" t="str">
        <f t="shared" si="38"/>
        <v>SUCCESS</v>
      </c>
      <c r="Z45" s="171" t="str">
        <f t="shared" si="39"/>
        <v>ERROR</v>
      </c>
      <c r="AA45" s="185">
        <f t="shared" si="40"/>
        <v>154.82056256062066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168</v>
      </c>
      <c r="B46" s="113">
        <f t="shared" si="29"/>
        <v>16130</v>
      </c>
      <c r="C46" s="118">
        <f t="shared" si="30"/>
        <v>105.49000000000007</v>
      </c>
      <c r="D46" s="181" t="s">
        <v>12</v>
      </c>
      <c r="E46" s="182">
        <f>IF(H45="AFIII",VLOOKUP($D46,Sheet1!$A$34:$K$48,5,FALSE),IF(H45="UBIII",VLOOKUP($D46,Sheet1!$A$34:$K$48,8,FALSE),VLOOKUP($D46,Sheet1!$A$34:$K$48,2,FALSE)))</f>
        <v>1.67</v>
      </c>
      <c r="F46" s="182">
        <f>ROUNDDOWN((IF(H45="AFIII",VLOOKUP($D46,Sheet1!$A$34:$K$48,5,FALSE),IF(H45="UBIII",VLOOKUP($D46,Sheet1!$A$34:$K$48,8,FALSE),VLOOKUP($D46,Sheet1!$A$34:$K$48,2,FALSE))))*0.85,2)</f>
        <v>1.41</v>
      </c>
      <c r="G46" s="182">
        <f t="shared" si="31"/>
        <v>2.39</v>
      </c>
      <c r="H46" s="183" t="s">
        <v>122</v>
      </c>
      <c r="I46" s="182">
        <v>10</v>
      </c>
      <c r="K46" s="182">
        <f t="shared" si="47"/>
        <v>-3.9499999999999984</v>
      </c>
      <c r="L46" s="182">
        <f t="shared" si="33"/>
        <v>2.6599999999999988</v>
      </c>
      <c r="O46" s="182">
        <f t="shared" si="50"/>
        <v>52.83</v>
      </c>
      <c r="R46" s="182">
        <f t="shared" si="48"/>
        <v>47.94</v>
      </c>
      <c r="U46" s="184">
        <f t="shared" si="42"/>
        <v>50.379999999999946</v>
      </c>
      <c r="V46" s="201">
        <f>IF(H45="AFIII",VLOOKUP(D46,Sheet1!$A$4:$H$18,5,FALSE),IF(H45="UBIII",VLOOKUP(D46,Sheet1!$A$4:$H$18,8,FALSE),IF(H45="",VLOOKUP(D46,Sheet1!$A$4:$H$18,2,FALSE),"0")))</f>
        <v>265</v>
      </c>
      <c r="W46" s="201">
        <f t="shared" si="36"/>
        <v>0</v>
      </c>
      <c r="X46" s="208">
        <f t="shared" si="37"/>
        <v>1493</v>
      </c>
      <c r="Y46" s="171" t="str">
        <f t="shared" si="38"/>
        <v>SUCCESS</v>
      </c>
      <c r="Z46" s="171" t="str">
        <f t="shared" si="39"/>
        <v>ERROR</v>
      </c>
      <c r="AA46" s="185">
        <f t="shared" si="40"/>
        <v>152.90548867191194</v>
      </c>
    </row>
    <row r="47" spans="1:27">
      <c r="A47" s="12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295</v>
      </c>
      <c r="B47" s="123">
        <f t="shared" si="29"/>
        <v>16425</v>
      </c>
      <c r="C47" s="124">
        <f>C46+G47</f>
        <v>108.35000000000007</v>
      </c>
      <c r="D47" s="186" t="s">
        <v>19</v>
      </c>
      <c r="E47" s="187">
        <f>IF(H46="AFIII",VLOOKUP($D47,Sheet1!$A$34:$K$48,5,FALSE),IF(H46="UBIII",VLOOKUP($D47,Sheet1!$A$34:$K$48,8,FALSE),VLOOKUP($D47,Sheet1!$A$34:$K$48,2,FALSE)))</f>
        <v>2.86</v>
      </c>
      <c r="F47" s="187">
        <f>ROUNDDOWN((IF(H46="AFIII",VLOOKUP($D47,Sheet1!$A$34:$K$48,5,FALSE),IF(H46="UBIII",VLOOKUP($D47,Sheet1!$A$34:$K$48,8,FALSE),VLOOKUP($D47,Sheet1!$A$34:$K$48,2,FALSE))))*0.85,2)</f>
        <v>2.4300000000000002</v>
      </c>
      <c r="G47" s="187">
        <f t="shared" si="31"/>
        <v>2.86</v>
      </c>
      <c r="H47" s="188" t="s">
        <v>122</v>
      </c>
      <c r="I47" s="187">
        <f>I46-G47</f>
        <v>7.1400000000000006</v>
      </c>
      <c r="J47" s="188" t="s">
        <v>138</v>
      </c>
      <c r="K47" s="187">
        <f t="shared" si="47"/>
        <v>-6.8099999999999987</v>
      </c>
      <c r="L47" s="187">
        <f t="shared" si="33"/>
        <v>-0.20000000000000107</v>
      </c>
      <c r="M47" s="188"/>
      <c r="N47" s="187"/>
      <c r="O47" s="187">
        <f t="shared" si="50"/>
        <v>49.97</v>
      </c>
      <c r="P47" s="188" t="s">
        <v>17</v>
      </c>
      <c r="Q47" s="187">
        <v>21</v>
      </c>
      <c r="R47" s="187">
        <f t="shared" si="48"/>
        <v>45.08</v>
      </c>
      <c r="S47" s="188"/>
      <c r="T47" s="187"/>
      <c r="U47" s="189">
        <f t="shared" si="42"/>
        <v>47.519999999999946</v>
      </c>
      <c r="V47" s="209">
        <f>IF(H46="AFIII",VLOOKUP(D47,Sheet1!$A$4:$H$18,5,FALSE),IF(H46="UBIII",VLOOKUP(D47,Sheet1!$A$4:$H$18,8,FALSE),IF(H46="",VLOOKUP(D47,Sheet1!$A$4:$H$18,2,FALSE),"0")))</f>
        <v>1060</v>
      </c>
      <c r="W47" s="209">
        <f t="shared" si="36"/>
        <v>7033</v>
      </c>
      <c r="X47" s="210">
        <f t="shared" si="37"/>
        <v>7466</v>
      </c>
      <c r="Y47" s="190" t="str">
        <f t="shared" si="38"/>
        <v>SUCCESS</v>
      </c>
      <c r="Z47" s="190" t="str">
        <f t="shared" si="39"/>
        <v>ERROR</v>
      </c>
      <c r="AA47" s="185">
        <f t="shared" si="40"/>
        <v>151.59206275957536</v>
      </c>
    </row>
    <row r="48" spans="1:27">
      <c r="A48" s="11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168</v>
      </c>
      <c r="B48" s="113">
        <f t="shared" si="29"/>
        <v>16593</v>
      </c>
      <c r="C48" s="118">
        <f>C47+G48</f>
        <v>110.74000000000007</v>
      </c>
      <c r="D48" s="181" t="s">
        <v>4</v>
      </c>
      <c r="E48" s="182">
        <f>IF(H47="AFIII",VLOOKUP($D48,Sheet1!$A$34:$K$48,5,FALSE),IF(H47="UBIII",VLOOKUP($D48,Sheet1!$A$34:$K$48,8,FALSE),VLOOKUP($D48,Sheet1!$A$34:$K$48,2,FALSE)))</f>
        <v>1.67</v>
      </c>
      <c r="F48" s="182">
        <f>ROUNDDOWN((IF(H47="AFIII",VLOOKUP($D48,Sheet1!$A$34:$K$48,5,FALSE),IF(H47="UBIII",VLOOKUP($D48,Sheet1!$A$34:$K$48,8,FALSE),VLOOKUP($D48,Sheet1!$A$34:$K$48,2,FALSE))))*0.85,2)</f>
        <v>1.41</v>
      </c>
      <c r="G48" s="182">
        <f t="shared" si="31"/>
        <v>2.39</v>
      </c>
      <c r="H48" s="183" t="s">
        <v>84</v>
      </c>
      <c r="I48" s="182">
        <v>10</v>
      </c>
      <c r="J48" s="183" t="s">
        <v>105</v>
      </c>
      <c r="K48" s="182">
        <v>30</v>
      </c>
      <c r="L48" s="182">
        <v>90</v>
      </c>
      <c r="O48" s="182">
        <f t="shared" si="50"/>
        <v>47.58</v>
      </c>
      <c r="Q48" s="182">
        <f t="shared" ref="Q48:Q54" si="51">Q47-G48</f>
        <v>18.61</v>
      </c>
      <c r="R48" s="182">
        <f t="shared" si="48"/>
        <v>42.69</v>
      </c>
      <c r="U48" s="184">
        <f t="shared" si="42"/>
        <v>45.129999999999946</v>
      </c>
      <c r="V48" s="201">
        <f>IF(H47="AFIII",VLOOKUP(D48,Sheet1!$A$4:$H$18,5,FALSE),IF(H47="UBIII",VLOOKUP(D48,Sheet1!$A$4:$H$18,8,FALSE),IF(H47="",VLOOKUP(D48,Sheet1!$A$4:$H$18,2,FALSE),"0")))</f>
        <v>442</v>
      </c>
      <c r="W48" s="201">
        <f t="shared" si="36"/>
        <v>7033</v>
      </c>
      <c r="X48" s="208">
        <f t="shared" si="37"/>
        <v>10950</v>
      </c>
      <c r="Y48" s="171" t="str">
        <f t="shared" si="38"/>
        <v>SUCCESS</v>
      </c>
      <c r="Z48" s="171" t="str">
        <f t="shared" si="39"/>
        <v>ERROR</v>
      </c>
      <c r="AA48" s="185">
        <f t="shared" si="40"/>
        <v>149.83745710673642</v>
      </c>
    </row>
    <row r="49" spans="1:27">
      <c r="A49" s="112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504</v>
      </c>
      <c r="B49" s="113">
        <f t="shared" si="29"/>
        <v>17097</v>
      </c>
      <c r="C49" s="118">
        <f>C48+G49</f>
        <v>113.60000000000007</v>
      </c>
      <c r="D49" s="181" t="s">
        <v>6</v>
      </c>
      <c r="E49" s="182">
        <f>IF(H48="AFIII",VLOOKUP($D49,Sheet1!$A$34:$K$48,5,FALSE),IF(H48="UBIII",VLOOKUP($D49,Sheet1!$A$34:$K$48,8,FALSE),VLOOKUP($D49,Sheet1!$A$34:$K$48,2,FALSE)))</f>
        <v>2.86</v>
      </c>
      <c r="F49" s="182">
        <f>ROUNDDOWN((IF(H48="AFIII",VLOOKUP($D49,Sheet1!$A$34:$K$48,5,FALSE),IF(H48="UBIII",VLOOKUP($D49,Sheet1!$A$34:$K$48,8,FALSE),VLOOKUP($D49,Sheet1!$A$34:$K$48,2,FALSE))))*0.85,2)</f>
        <v>2.4300000000000002</v>
      </c>
      <c r="G49" s="182">
        <f t="shared" si="31"/>
        <v>2.86</v>
      </c>
      <c r="H49" s="183" t="s">
        <v>84</v>
      </c>
      <c r="I49" s="182">
        <f>I48-G49</f>
        <v>7.1400000000000006</v>
      </c>
      <c r="K49" s="182">
        <f>K48-G49</f>
        <v>27.14</v>
      </c>
      <c r="L49" s="182">
        <f>L48-G49</f>
        <v>87.14</v>
      </c>
      <c r="O49" s="182">
        <f t="shared" si="50"/>
        <v>44.72</v>
      </c>
      <c r="Q49" s="182">
        <f t="shared" si="51"/>
        <v>15.75</v>
      </c>
      <c r="R49" s="182">
        <f t="shared" si="48"/>
        <v>39.83</v>
      </c>
      <c r="U49" s="184">
        <f t="shared" si="42"/>
        <v>42.269999999999946</v>
      </c>
      <c r="V49" s="201">
        <f>IF(H48="AFIII",VLOOKUP(D49,Sheet1!$A$4:$H$18,5,FALSE),IF(H48="UBIII",VLOOKUP(D49,Sheet1!$A$4:$H$18,8,FALSE),IF(H48="",VLOOKUP(D49,Sheet1!$A$4:$H$18,2,FALSE),"0")))</f>
        <v>1768</v>
      </c>
      <c r="W49" s="201">
        <f t="shared" si="36"/>
        <v>0</v>
      </c>
      <c r="X49" s="208">
        <f t="shared" si="37"/>
        <v>9182</v>
      </c>
      <c r="Y49" s="171" t="str">
        <f t="shared" si="38"/>
        <v>SUCCESS</v>
      </c>
      <c r="Z49" s="171" t="str">
        <f t="shared" si="39"/>
        <v>SUCCESS</v>
      </c>
      <c r="AA49" s="185">
        <f t="shared" si="40"/>
        <v>150.5017605633802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504</v>
      </c>
      <c r="B50" s="113">
        <f t="shared" si="29"/>
        <v>17601</v>
      </c>
      <c r="C50" s="118">
        <f>C49+G50</f>
        <v>116.46000000000006</v>
      </c>
      <c r="D50" s="181" t="s">
        <v>6</v>
      </c>
      <c r="E50" s="182">
        <f>IF(H49="AFIII",VLOOKUP($D50,Sheet1!$A$34:$K$48,5,FALSE),IF(H49="UBIII",VLOOKUP($D50,Sheet1!$A$34:$K$48,8,FALSE),VLOOKUP($D50,Sheet1!$A$34:$K$48,2,FALSE)))</f>
        <v>2.86</v>
      </c>
      <c r="F50" s="182">
        <f>ROUNDDOWN((IF(H49="AFIII",VLOOKUP($D50,Sheet1!$A$34:$K$48,5,FALSE),IF(H49="UBIII",VLOOKUP($D50,Sheet1!$A$34:$K$48,8,FALSE),VLOOKUP($D50,Sheet1!$A$34:$K$48,2,FALSE))))*0.85,2)</f>
        <v>2.4300000000000002</v>
      </c>
      <c r="G50" s="182">
        <f t="shared" si="31"/>
        <v>2.86</v>
      </c>
      <c r="H50" s="183" t="s">
        <v>84</v>
      </c>
      <c r="I50" s="182">
        <f>I49-G50</f>
        <v>4.2800000000000011</v>
      </c>
      <c r="K50" s="182">
        <f t="shared" ref="K50:K54" si="52">K49-G50</f>
        <v>24.28</v>
      </c>
      <c r="L50" s="182">
        <f t="shared" ref="L50:L82" si="53">L49-G50</f>
        <v>84.28</v>
      </c>
      <c r="O50" s="182">
        <f t="shared" si="50"/>
        <v>41.86</v>
      </c>
      <c r="Q50" s="182">
        <f t="shared" si="51"/>
        <v>12.89</v>
      </c>
      <c r="R50" s="182">
        <f t="shared" si="48"/>
        <v>36.97</v>
      </c>
      <c r="U50" s="184">
        <f t="shared" si="42"/>
        <v>39.409999999999947</v>
      </c>
      <c r="V50" s="201">
        <f>IF(H49="AFIII",VLOOKUP(D50,Sheet1!$A$4:$H$18,5,FALSE),IF(H49="UBIII",VLOOKUP(D50,Sheet1!$A$4:$H$18,8,FALSE),IF(H49="",VLOOKUP(D50,Sheet1!$A$4:$H$18,2,FALSE),"0")))</f>
        <v>1768</v>
      </c>
      <c r="W50" s="201">
        <f t="shared" si="36"/>
        <v>0</v>
      </c>
      <c r="X50" s="208">
        <f t="shared" si="37"/>
        <v>7414</v>
      </c>
      <c r="Y50" s="171" t="str">
        <f t="shared" si="38"/>
        <v>SUCCESS</v>
      </c>
      <c r="Z50" s="171" t="str">
        <f t="shared" si="39"/>
        <v>SUCCESS</v>
      </c>
      <c r="AA50" s="185">
        <f t="shared" si="40"/>
        <v>151.13343637300352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496</v>
      </c>
      <c r="B51" s="113">
        <f t="shared" si="29"/>
        <v>18097</v>
      </c>
      <c r="C51" s="118">
        <f t="shared" ref="C51:C84" si="54">C50+G51</f>
        <v>119.80600000000007</v>
      </c>
      <c r="D51" s="181" t="s">
        <v>128</v>
      </c>
      <c r="E51" s="182">
        <f>IF(H50="AFIII",VLOOKUP($D51,Sheet1!$A$34:$K$48,5,FALSE),IF(H50="UBIII",VLOOKUP($D51,Sheet1!$A$34:$K$48,8,FALSE),VLOOKUP($D51,Sheet1!$A$34:$K$48,2,FALSE)))</f>
        <v>3.3460000000000001</v>
      </c>
      <c r="F51" s="182">
        <f>ROUNDDOWN((IF(H50="AFIII",VLOOKUP($D51,Sheet1!$A$34:$K$48,5,FALSE),IF(H50="UBIII",VLOOKUP($D51,Sheet1!$A$34:$K$48,8,FALSE),VLOOKUP($D51,Sheet1!$A$34:$K$48,2,FALSE))))*0.85,2)</f>
        <v>2.84</v>
      </c>
      <c r="G51" s="182">
        <f t="shared" si="31"/>
        <v>3.3460000000000001</v>
      </c>
      <c r="H51" s="183" t="s">
        <v>84</v>
      </c>
      <c r="I51" s="182">
        <v>10</v>
      </c>
      <c r="K51" s="182">
        <f t="shared" si="52"/>
        <v>20.934000000000001</v>
      </c>
      <c r="L51" s="182">
        <f t="shared" si="53"/>
        <v>80.933999999999997</v>
      </c>
      <c r="O51" s="182">
        <f t="shared" si="50"/>
        <v>38.513999999999996</v>
      </c>
      <c r="Q51" s="182">
        <f t="shared" si="51"/>
        <v>9.5440000000000005</v>
      </c>
      <c r="R51" s="182">
        <f t="shared" si="48"/>
        <v>33.623999999999995</v>
      </c>
      <c r="U51" s="184">
        <f t="shared" si="42"/>
        <v>36.06399999999995</v>
      </c>
      <c r="V51" s="201">
        <f>IF(H50="AFIII",VLOOKUP(D51,Sheet1!$A$4:$H$18,5,FALSE),IF(H50="UBIII",VLOOKUP(D51,Sheet1!$A$4:$H$18,8,FALSE),IF(H50="",VLOOKUP(D51,Sheet1!$A$4:$H$18,2,FALSE),"0")))</f>
        <v>2120</v>
      </c>
      <c r="W51" s="201">
        <f t="shared" si="36"/>
        <v>0</v>
      </c>
      <c r="X51" s="208">
        <f t="shared" si="37"/>
        <v>5294</v>
      </c>
      <c r="Y51" s="171" t="str">
        <f t="shared" si="38"/>
        <v>SUCCESS</v>
      </c>
      <c r="Z51" s="171" t="str">
        <f t="shared" si="39"/>
        <v>SUCCESS</v>
      </c>
      <c r="AA51" s="185">
        <f t="shared" si="40"/>
        <v>151.05253493147245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504</v>
      </c>
      <c r="B52" s="113">
        <f t="shared" si="29"/>
        <v>18601</v>
      </c>
      <c r="C52" s="118">
        <f t="shared" si="54"/>
        <v>122.66600000000007</v>
      </c>
      <c r="D52" s="181" t="s">
        <v>6</v>
      </c>
      <c r="E52" s="182">
        <f>IF(H51="AFIII",VLOOKUP($D52,Sheet1!$A$34:$K$48,5,FALSE),IF(H51="UBIII",VLOOKUP($D52,Sheet1!$A$34:$K$48,8,FALSE),VLOOKUP($D52,Sheet1!$A$34:$K$48,2,FALSE)))</f>
        <v>2.86</v>
      </c>
      <c r="F52" s="182">
        <f>ROUNDDOWN((IF(H51="AFIII",VLOOKUP($D52,Sheet1!$A$34:$K$48,5,FALSE),IF(H51="UBIII",VLOOKUP($D52,Sheet1!$A$34:$K$48,8,FALSE),VLOOKUP($D52,Sheet1!$A$34:$K$48,2,FALSE))))*0.85,2)</f>
        <v>2.4300000000000002</v>
      </c>
      <c r="G52" s="182">
        <f t="shared" si="31"/>
        <v>2.86</v>
      </c>
      <c r="H52" s="183" t="s">
        <v>84</v>
      </c>
      <c r="I52" s="182">
        <f>I51-G52</f>
        <v>7.1400000000000006</v>
      </c>
      <c r="K52" s="182">
        <f t="shared" si="52"/>
        <v>18.074000000000002</v>
      </c>
      <c r="L52" s="182">
        <f t="shared" si="53"/>
        <v>78.073999999999998</v>
      </c>
      <c r="O52" s="182">
        <f t="shared" si="50"/>
        <v>35.653999999999996</v>
      </c>
      <c r="Q52" s="182">
        <f t="shared" si="51"/>
        <v>6.6840000000000011</v>
      </c>
      <c r="R52" s="182">
        <f t="shared" si="48"/>
        <v>30.763999999999996</v>
      </c>
      <c r="U52" s="184">
        <f t="shared" si="42"/>
        <v>33.203999999999951</v>
      </c>
      <c r="V52" s="201">
        <f>IF(H51="AFIII",VLOOKUP(D52,Sheet1!$A$4:$H$18,5,FALSE),IF(H51="UBIII",VLOOKUP(D52,Sheet1!$A$4:$H$18,8,FALSE),IF(H51="",VLOOKUP(D52,Sheet1!$A$4:$H$18,2,FALSE),"0")))</f>
        <v>1768</v>
      </c>
      <c r="W52" s="201">
        <f t="shared" si="36"/>
        <v>0</v>
      </c>
      <c r="X52" s="208">
        <f t="shared" si="37"/>
        <v>3526</v>
      </c>
      <c r="Y52" s="171" t="str">
        <f t="shared" si="38"/>
        <v>SUCCESS</v>
      </c>
      <c r="Z52" s="171" t="str">
        <f t="shared" si="39"/>
        <v>SUCCESS</v>
      </c>
      <c r="AA52" s="185">
        <f t="shared" si="40"/>
        <v>151.63941108375582</v>
      </c>
    </row>
    <row r="53" spans="1:27">
      <c r="A53" s="112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504</v>
      </c>
      <c r="B53" s="113">
        <f t="shared" si="29"/>
        <v>19105</v>
      </c>
      <c r="C53" s="118">
        <f t="shared" si="54"/>
        <v>125.52600000000007</v>
      </c>
      <c r="D53" s="181" t="s">
        <v>6</v>
      </c>
      <c r="E53" s="182">
        <f>IF(H52="AFIII",VLOOKUP($D53,Sheet1!$A$34:$K$48,5,FALSE),IF(H52="UBIII",VLOOKUP($D53,Sheet1!$A$34:$K$48,8,FALSE),VLOOKUP($D53,Sheet1!$A$34:$K$48,2,FALSE)))</f>
        <v>2.86</v>
      </c>
      <c r="F53" s="182">
        <f>ROUNDDOWN((IF(H52="AFIII",VLOOKUP($D53,Sheet1!$A$34:$K$48,5,FALSE),IF(H52="UBIII",VLOOKUP($D53,Sheet1!$A$34:$K$48,8,FALSE),VLOOKUP($D53,Sheet1!$A$34:$K$48,2,FALSE))))*0.85,2)</f>
        <v>2.4300000000000002</v>
      </c>
      <c r="G53" s="182">
        <f t="shared" si="31"/>
        <v>2.86</v>
      </c>
      <c r="H53" s="183" t="s">
        <v>84</v>
      </c>
      <c r="I53" s="182">
        <f>I52-G53</f>
        <v>4.2800000000000011</v>
      </c>
      <c r="K53" s="182">
        <f t="shared" si="52"/>
        <v>15.214000000000002</v>
      </c>
      <c r="L53" s="182">
        <f t="shared" si="53"/>
        <v>75.213999999999999</v>
      </c>
      <c r="O53" s="182">
        <f t="shared" si="50"/>
        <v>32.793999999999997</v>
      </c>
      <c r="Q53" s="182">
        <f t="shared" si="51"/>
        <v>3.8240000000000012</v>
      </c>
      <c r="R53" s="182">
        <f t="shared" si="48"/>
        <v>27.903999999999996</v>
      </c>
      <c r="U53" s="184">
        <f t="shared" si="42"/>
        <v>30.343999999999951</v>
      </c>
      <c r="V53" s="201">
        <f>IF(H52="AFIII",VLOOKUP(D53,Sheet1!$A$4:$H$18,5,FALSE),IF(H52="UBIII",VLOOKUP(D53,Sheet1!$A$4:$H$18,8,FALSE),IF(H52="",VLOOKUP(D53,Sheet1!$A$4:$H$18,2,FALSE),"0")))</f>
        <v>1768</v>
      </c>
      <c r="W53" s="201">
        <f t="shared" si="36"/>
        <v>0</v>
      </c>
      <c r="X53" s="208">
        <f t="shared" si="37"/>
        <v>1758</v>
      </c>
      <c r="Y53" s="171" t="str">
        <f t="shared" si="38"/>
        <v>SUCCESS</v>
      </c>
      <c r="Z53" s="171" t="str">
        <f t="shared" si="39"/>
        <v>SUCCESS</v>
      </c>
      <c r="AA53" s="185">
        <f t="shared" si="40"/>
        <v>152.19954431751182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168</v>
      </c>
      <c r="B54" s="113">
        <f t="shared" si="29"/>
        <v>19273</v>
      </c>
      <c r="C54" s="118">
        <f t="shared" si="54"/>
        <v>127.91600000000007</v>
      </c>
      <c r="D54" s="181" t="s">
        <v>12</v>
      </c>
      <c r="E54" s="182">
        <f>IF(H53="AFIII",VLOOKUP($D54,Sheet1!$A$34:$K$48,5,FALSE),IF(H53="UBIII",VLOOKUP($D54,Sheet1!$A$34:$K$48,8,FALSE),VLOOKUP($D54,Sheet1!$A$34:$K$48,2,FALSE)))</f>
        <v>1.67</v>
      </c>
      <c r="F54" s="182">
        <f>ROUNDDOWN((IF(H53="AFIII",VLOOKUP($D54,Sheet1!$A$34:$K$48,5,FALSE),IF(H53="UBIII",VLOOKUP($D54,Sheet1!$A$34:$K$48,8,FALSE),VLOOKUP($D54,Sheet1!$A$34:$K$48,2,FALSE))))*0.85,2)</f>
        <v>1.41</v>
      </c>
      <c r="G54" s="182">
        <f t="shared" si="31"/>
        <v>2.39</v>
      </c>
      <c r="H54" s="183" t="s">
        <v>122</v>
      </c>
      <c r="I54" s="182">
        <v>10</v>
      </c>
      <c r="K54" s="182">
        <f t="shared" si="52"/>
        <v>12.824000000000002</v>
      </c>
      <c r="L54" s="182">
        <f t="shared" si="53"/>
        <v>72.823999999999998</v>
      </c>
      <c r="O54" s="182">
        <f t="shared" si="50"/>
        <v>30.403999999999996</v>
      </c>
      <c r="Q54" s="182">
        <f t="shared" si="51"/>
        <v>1.4340000000000011</v>
      </c>
      <c r="R54" s="182">
        <f t="shared" si="48"/>
        <v>25.513999999999996</v>
      </c>
      <c r="U54" s="184">
        <f t="shared" si="42"/>
        <v>27.953999999999951</v>
      </c>
      <c r="V54" s="201">
        <f>IF(H53="AFIII",VLOOKUP(D54,Sheet1!$A$4:$H$18,5,FALSE),IF(H53="UBIII",VLOOKUP(D54,Sheet1!$A$4:$H$18,8,FALSE),IF(H53="",VLOOKUP(D54,Sheet1!$A$4:$H$18,2,FALSE),"0")))</f>
        <v>265</v>
      </c>
      <c r="W54" s="201">
        <f t="shared" si="36"/>
        <v>0</v>
      </c>
      <c r="X54" s="208">
        <f t="shared" si="37"/>
        <v>1493</v>
      </c>
      <c r="Y54" s="171" t="str">
        <f t="shared" si="38"/>
        <v>SUCCESS</v>
      </c>
      <c r="Z54" s="171" t="str">
        <f t="shared" si="39"/>
        <v>SUCCESS</v>
      </c>
      <c r="AA54" s="185">
        <f t="shared" si="40"/>
        <v>150.66918915538315</v>
      </c>
    </row>
    <row r="55" spans="1:27">
      <c r="A55" s="119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280</v>
      </c>
      <c r="B55" s="120">
        <f t="shared" si="29"/>
        <v>19553</v>
      </c>
      <c r="C55" s="121">
        <f t="shared" si="54"/>
        <v>130.77600000000007</v>
      </c>
      <c r="D55" s="191" t="s">
        <v>14</v>
      </c>
      <c r="E55" s="192">
        <f>IF(H54="AFIII",VLOOKUP($D55,Sheet1!$A$34:$K$48,5,FALSE),IF(H54="UBIII",VLOOKUP($D55,Sheet1!$A$34:$K$48,8,FALSE),VLOOKUP($D55,Sheet1!$A$34:$K$48,2,FALSE)))</f>
        <v>2.86</v>
      </c>
      <c r="F55" s="192">
        <f>ROUNDDOWN((IF(H54="AFIII",VLOOKUP($D55,Sheet1!$A$34:$K$48,5,FALSE),IF(H54="UBIII",VLOOKUP($D55,Sheet1!$A$34:$K$48,8,FALSE),VLOOKUP($D55,Sheet1!$A$34:$K$48,2,FALSE))))*0.85,2)</f>
        <v>2.4300000000000002</v>
      </c>
      <c r="G55" s="192">
        <f t="shared" si="31"/>
        <v>2.86</v>
      </c>
      <c r="H55" s="193" t="s">
        <v>122</v>
      </c>
      <c r="I55" s="192">
        <f>I54-G55</f>
        <v>7.1400000000000006</v>
      </c>
      <c r="J55" s="193"/>
      <c r="K55" s="192">
        <v>25</v>
      </c>
      <c r="L55" s="192">
        <f t="shared" si="53"/>
        <v>69.963999999999999</v>
      </c>
      <c r="M55" s="193"/>
      <c r="N55" s="192"/>
      <c r="O55" s="192">
        <f t="shared" si="50"/>
        <v>27.543999999999997</v>
      </c>
      <c r="P55" s="193"/>
      <c r="Q55" s="192">
        <f>Q54-G55</f>
        <v>-1.4259999999999988</v>
      </c>
      <c r="R55" s="192">
        <f t="shared" si="48"/>
        <v>22.653999999999996</v>
      </c>
      <c r="S55" s="193"/>
      <c r="T55" s="192"/>
      <c r="U55" s="194">
        <f t="shared" si="42"/>
        <v>25.093999999999951</v>
      </c>
      <c r="V55" s="211">
        <f>IF(H54="AFIII",VLOOKUP(D55,Sheet1!$A$4:$H$18,5,FALSE),IF(H54="UBIII",VLOOKUP(D55,Sheet1!$A$4:$H$18,8,FALSE),IF(H54="",VLOOKUP(D55,Sheet1!$A$4:$H$18,2,FALSE),"0")))</f>
        <v>884</v>
      </c>
      <c r="W55" s="211">
        <f t="shared" si="36"/>
        <v>7033</v>
      </c>
      <c r="X55" s="212">
        <f t="shared" si="37"/>
        <v>7642</v>
      </c>
      <c r="Y55" s="195" t="str">
        <f t="shared" si="38"/>
        <v>SUCCESS</v>
      </c>
      <c r="Z55" s="195" t="str">
        <f t="shared" si="39"/>
        <v>SUCCESS</v>
      </c>
      <c r="AA55" s="185">
        <f t="shared" si="40"/>
        <v>149.5152015660365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168</v>
      </c>
      <c r="B56" s="113">
        <f t="shared" si="29"/>
        <v>19721</v>
      </c>
      <c r="C56" s="118">
        <f t="shared" si="54"/>
        <v>133.16600000000005</v>
      </c>
      <c r="D56" s="181" t="s">
        <v>4</v>
      </c>
      <c r="E56" s="182">
        <f>IF(H55="AFIII",VLOOKUP($D56,Sheet1!$A$34:$K$48,5,FALSE),IF(H55="UBIII",VLOOKUP($D56,Sheet1!$A$34:$K$48,8,FALSE),VLOOKUP($D56,Sheet1!$A$34:$K$48,2,FALSE)))</f>
        <v>1.67</v>
      </c>
      <c r="F56" s="182">
        <f>ROUNDDOWN((IF(H55="AFIII",VLOOKUP($D56,Sheet1!$A$34:$K$48,5,FALSE),IF(H55="UBIII",VLOOKUP($D56,Sheet1!$A$34:$K$48,8,FALSE),VLOOKUP($D56,Sheet1!$A$34:$K$48,2,FALSE))))*0.85,2)</f>
        <v>1.41</v>
      </c>
      <c r="G56" s="182">
        <f t="shared" si="31"/>
        <v>2.39</v>
      </c>
      <c r="H56" s="183" t="s">
        <v>84</v>
      </c>
      <c r="I56" s="182">
        <v>10</v>
      </c>
      <c r="K56" s="182">
        <f t="shared" ref="K56:K59" si="55">K55-G56</f>
        <v>22.61</v>
      </c>
      <c r="L56" s="182">
        <f t="shared" si="53"/>
        <v>67.573999999999998</v>
      </c>
      <c r="O56" s="182">
        <f t="shared" si="50"/>
        <v>25.153999999999996</v>
      </c>
      <c r="Q56" s="182">
        <f t="shared" ref="Q56" si="56">Q55-G56</f>
        <v>-3.8159999999999989</v>
      </c>
      <c r="R56" s="182">
        <f t="shared" si="48"/>
        <v>20.263999999999996</v>
      </c>
      <c r="U56" s="184">
        <f t="shared" si="42"/>
        <v>22.703999999999951</v>
      </c>
      <c r="V56" s="201">
        <f>IF(H55="AFIII",VLOOKUP(D56,Sheet1!$A$4:$H$18,5,FALSE),IF(H55="UBIII",VLOOKUP(D56,Sheet1!$A$4:$H$18,8,FALSE),IF(H55="",VLOOKUP(D56,Sheet1!$A$4:$H$18,2,FALSE),"0")))</f>
        <v>442</v>
      </c>
      <c r="W56" s="201">
        <f t="shared" si="36"/>
        <v>7033</v>
      </c>
      <c r="X56" s="208">
        <f t="shared" si="37"/>
        <v>10950</v>
      </c>
      <c r="Y56" s="171" t="str">
        <f t="shared" si="38"/>
        <v>SUCCESS</v>
      </c>
      <c r="Z56" s="171" t="str">
        <f t="shared" si="39"/>
        <v>SUCCESS</v>
      </c>
      <c r="AA56" s="185">
        <f t="shared" si="40"/>
        <v>148.0933571632398</v>
      </c>
    </row>
    <row r="57" spans="1:27">
      <c r="A57" s="112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504</v>
      </c>
      <c r="B57" s="113">
        <f t="shared" si="29"/>
        <v>20225</v>
      </c>
      <c r="C57" s="118">
        <f t="shared" si="54"/>
        <v>136.02600000000007</v>
      </c>
      <c r="D57" s="181" t="s">
        <v>6</v>
      </c>
      <c r="E57" s="182">
        <f>IF(H56="AFIII",VLOOKUP($D57,Sheet1!$A$34:$K$48,5,FALSE),IF(H56="UBIII",VLOOKUP($D57,Sheet1!$A$34:$K$48,8,FALSE),VLOOKUP($D57,Sheet1!$A$34:$K$48,2,FALSE)))</f>
        <v>2.86</v>
      </c>
      <c r="F57" s="182">
        <f>ROUNDDOWN((IF(H56="AFIII",VLOOKUP($D57,Sheet1!$A$34:$K$48,5,FALSE),IF(H56="UBIII",VLOOKUP($D57,Sheet1!$A$34:$K$48,8,FALSE),VLOOKUP($D57,Sheet1!$A$34:$K$48,2,FALSE))))*0.85,2)</f>
        <v>2.4300000000000002</v>
      </c>
      <c r="G57" s="182">
        <f t="shared" si="31"/>
        <v>2.86</v>
      </c>
      <c r="H57" s="183" t="s">
        <v>84</v>
      </c>
      <c r="I57" s="182">
        <f>I56-G57</f>
        <v>7.1400000000000006</v>
      </c>
      <c r="K57" s="182">
        <f t="shared" si="55"/>
        <v>19.75</v>
      </c>
      <c r="L57" s="182">
        <f t="shared" si="53"/>
        <v>64.713999999999999</v>
      </c>
      <c r="O57" s="182">
        <f t="shared" si="50"/>
        <v>22.293999999999997</v>
      </c>
      <c r="R57" s="182">
        <f t="shared" si="48"/>
        <v>17.403999999999996</v>
      </c>
      <c r="U57" s="184">
        <f t="shared" si="42"/>
        <v>19.843999999999951</v>
      </c>
      <c r="V57" s="201">
        <f>IF(H56="AFIII",VLOOKUP(D57,Sheet1!$A$4:$H$18,5,FALSE),IF(H56="UBIII",VLOOKUP(D57,Sheet1!$A$4:$H$18,8,FALSE),IF(H56="",VLOOKUP(D57,Sheet1!$A$4:$H$18,2,FALSE),"0")))</f>
        <v>1768</v>
      </c>
      <c r="W57" s="201">
        <f t="shared" si="36"/>
        <v>0</v>
      </c>
      <c r="X57" s="208">
        <f t="shared" si="37"/>
        <v>9182</v>
      </c>
      <c r="Y57" s="171" t="str">
        <f t="shared" si="38"/>
        <v>SUCCESS</v>
      </c>
      <c r="Z57" s="171" t="str">
        <f t="shared" si="39"/>
        <v>SUCCESS</v>
      </c>
      <c r="AA57" s="185">
        <f t="shared" si="40"/>
        <v>148.68481025686259</v>
      </c>
    </row>
    <row r="58" spans="1:27">
      <c r="A58" s="112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504</v>
      </c>
      <c r="B58" s="113">
        <f t="shared" si="29"/>
        <v>20729</v>
      </c>
      <c r="C58" s="118">
        <f t="shared" si="54"/>
        <v>138.88600000000008</v>
      </c>
      <c r="D58" s="181" t="s">
        <v>6</v>
      </c>
      <c r="E58" s="182">
        <f>IF(H57="AFIII",VLOOKUP($D58,Sheet1!$A$34:$K$48,5,FALSE),IF(H57="UBIII",VLOOKUP($D58,Sheet1!$A$34:$K$48,8,FALSE),VLOOKUP($D58,Sheet1!$A$34:$K$48,2,FALSE)))</f>
        <v>2.86</v>
      </c>
      <c r="F58" s="182">
        <f>ROUNDDOWN((IF(H57="AFIII",VLOOKUP($D58,Sheet1!$A$34:$K$48,5,FALSE),IF(H57="UBIII",VLOOKUP($D58,Sheet1!$A$34:$K$48,8,FALSE),VLOOKUP($D58,Sheet1!$A$34:$K$48,2,FALSE))))*0.85,2)</f>
        <v>2.4300000000000002</v>
      </c>
      <c r="G58" s="182">
        <f t="shared" si="31"/>
        <v>2.86</v>
      </c>
      <c r="H58" s="183" t="s">
        <v>84</v>
      </c>
      <c r="I58" s="182">
        <f t="shared" ref="I58" si="57">I57-G58</f>
        <v>4.2800000000000011</v>
      </c>
      <c r="K58" s="182">
        <f t="shared" si="55"/>
        <v>16.89</v>
      </c>
      <c r="L58" s="182">
        <f t="shared" si="53"/>
        <v>61.853999999999999</v>
      </c>
      <c r="O58" s="182">
        <f t="shared" si="50"/>
        <v>19.433999999999997</v>
      </c>
      <c r="R58" s="182">
        <f t="shared" si="48"/>
        <v>14.543999999999997</v>
      </c>
      <c r="U58" s="184">
        <f t="shared" si="42"/>
        <v>16.983999999999952</v>
      </c>
      <c r="V58" s="201">
        <f>IF(H57="AFIII",VLOOKUP(D58,Sheet1!$A$4:$H$18,5,FALSE),IF(H57="UBIII",VLOOKUP(D58,Sheet1!$A$4:$H$18,8,FALSE),IF(H57="",VLOOKUP(D58,Sheet1!$A$4:$H$18,2,FALSE),"0")))</f>
        <v>1768</v>
      </c>
      <c r="W58" s="201">
        <f t="shared" si="36"/>
        <v>0</v>
      </c>
      <c r="X58" s="208">
        <f t="shared" si="37"/>
        <v>7414</v>
      </c>
      <c r="Y58" s="171" t="str">
        <f t="shared" si="38"/>
        <v>SUCCESS</v>
      </c>
      <c r="Z58" s="171" t="str">
        <f t="shared" si="39"/>
        <v>SUCCESS</v>
      </c>
      <c r="AA58" s="185">
        <f t="shared" si="40"/>
        <v>149.25190443961225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496</v>
      </c>
      <c r="B59" s="113">
        <f t="shared" si="29"/>
        <v>21225</v>
      </c>
      <c r="C59" s="118">
        <f t="shared" si="54"/>
        <v>142.23200000000008</v>
      </c>
      <c r="D59" s="181" t="s">
        <v>128</v>
      </c>
      <c r="E59" s="182">
        <f>IF(H58="AFIII",VLOOKUP($D59,Sheet1!$A$34:$K$48,5,FALSE),IF(H58="UBIII",VLOOKUP($D59,Sheet1!$A$34:$K$48,8,FALSE),VLOOKUP($D59,Sheet1!$A$34:$K$48,2,FALSE)))</f>
        <v>3.3460000000000001</v>
      </c>
      <c r="F59" s="182">
        <f>ROUNDDOWN((IF(H58="AFIII",VLOOKUP($D59,Sheet1!$A$34:$K$48,5,FALSE),IF(H58="UBIII",VLOOKUP($D59,Sheet1!$A$34:$K$48,8,FALSE),VLOOKUP($D59,Sheet1!$A$34:$K$48,2,FALSE))))*0.85,2)</f>
        <v>2.84</v>
      </c>
      <c r="G59" s="182">
        <f t="shared" si="31"/>
        <v>3.3460000000000001</v>
      </c>
      <c r="H59" s="183" t="s">
        <v>84</v>
      </c>
      <c r="I59" s="182">
        <v>10</v>
      </c>
      <c r="K59" s="182">
        <f t="shared" si="55"/>
        <v>13.544</v>
      </c>
      <c r="L59" s="182">
        <f t="shared" si="53"/>
        <v>58.507999999999996</v>
      </c>
      <c r="O59" s="182">
        <f>O58-G59</f>
        <v>16.087999999999997</v>
      </c>
      <c r="R59" s="182">
        <f t="shared" si="48"/>
        <v>11.197999999999997</v>
      </c>
      <c r="U59" s="184">
        <f t="shared" si="42"/>
        <v>13.637999999999952</v>
      </c>
      <c r="V59" s="201">
        <f>IF(H58="AFIII",VLOOKUP(D59,Sheet1!$A$4:$H$18,5,FALSE),IF(H58="UBIII",VLOOKUP(D59,Sheet1!$A$4:$H$18,8,FALSE),IF(H58="",VLOOKUP(D59,Sheet1!$A$4:$H$18,2,FALSE),"0")))</f>
        <v>2120</v>
      </c>
      <c r="W59" s="201">
        <f t="shared" si="36"/>
        <v>0</v>
      </c>
      <c r="X59" s="208">
        <f t="shared" si="37"/>
        <v>5294</v>
      </c>
      <c r="Y59" s="171" t="str">
        <f t="shared" si="38"/>
        <v>SUCCESS</v>
      </c>
      <c r="Z59" s="171" t="str">
        <f t="shared" si="39"/>
        <v>SUCCESS</v>
      </c>
      <c r="AA59" s="185">
        <f t="shared" si="40"/>
        <v>149.22802182349955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504</v>
      </c>
      <c r="B60" s="113">
        <f t="shared" si="29"/>
        <v>21729</v>
      </c>
      <c r="C60" s="118">
        <f t="shared" si="54"/>
        <v>145.0920000000001</v>
      </c>
      <c r="D60" s="181" t="s">
        <v>6</v>
      </c>
      <c r="E60" s="182">
        <f>IF(H59="AFIII",VLOOKUP($D60,Sheet1!$A$34:$K$48,5,FALSE),IF(H59="UBIII",VLOOKUP($D60,Sheet1!$A$34:$K$48,8,FALSE),VLOOKUP($D60,Sheet1!$A$34:$K$48,2,FALSE)))</f>
        <v>2.86</v>
      </c>
      <c r="F60" s="182">
        <f>ROUNDDOWN((IF(H59="AFIII",VLOOKUP($D60,Sheet1!$A$34:$K$48,5,FALSE),IF(H59="UBIII",VLOOKUP($D60,Sheet1!$A$34:$K$48,8,FALSE),VLOOKUP($D60,Sheet1!$A$34:$K$48,2,FALSE))))*0.85,2)</f>
        <v>2.4300000000000002</v>
      </c>
      <c r="G60" s="182">
        <f t="shared" si="31"/>
        <v>2.86</v>
      </c>
      <c r="H60" s="183" t="s">
        <v>84</v>
      </c>
      <c r="I60" s="182">
        <f t="shared" ref="I60:I61" si="58">I59-G60</f>
        <v>7.1400000000000006</v>
      </c>
      <c r="K60" s="182">
        <f>K59-G60</f>
        <v>10.684000000000001</v>
      </c>
      <c r="L60" s="182">
        <f t="shared" si="53"/>
        <v>55.647999999999996</v>
      </c>
      <c r="O60" s="182">
        <f t="shared" ref="O60:O66" si="59">O59-G60</f>
        <v>13.227999999999998</v>
      </c>
      <c r="R60" s="182">
        <f t="shared" si="48"/>
        <v>8.3379999999999974</v>
      </c>
      <c r="U60" s="184">
        <f t="shared" si="42"/>
        <v>10.777999999999953</v>
      </c>
      <c r="V60" s="201">
        <f>IF(H59="AFIII",VLOOKUP(D60,Sheet1!$A$4:$H$18,5,FALSE),IF(H59="UBIII",VLOOKUP(D60,Sheet1!$A$4:$H$18,8,FALSE),IF(H59="",VLOOKUP(D60,Sheet1!$A$4:$H$18,2,FALSE),"0")))</f>
        <v>1768</v>
      </c>
      <c r="W60" s="201">
        <f t="shared" si="36"/>
        <v>0</v>
      </c>
      <c r="X60" s="208">
        <f t="shared" si="37"/>
        <v>3526</v>
      </c>
      <c r="Y60" s="171" t="str">
        <f t="shared" si="38"/>
        <v>SUCCESS</v>
      </c>
      <c r="Z60" s="171" t="str">
        <f t="shared" si="39"/>
        <v>SUCCESS</v>
      </c>
      <c r="AA60" s="185">
        <f t="shared" si="40"/>
        <v>149.76015217930683</v>
      </c>
    </row>
    <row r="61" spans="1:27">
      <c r="A61" s="11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504</v>
      </c>
      <c r="B61" s="113">
        <f t="shared" si="29"/>
        <v>22233</v>
      </c>
      <c r="C61" s="118">
        <f t="shared" si="54"/>
        <v>147.95200000000011</v>
      </c>
      <c r="D61" s="181" t="s">
        <v>6</v>
      </c>
      <c r="E61" s="182">
        <f>IF(H60="AFIII",VLOOKUP($D61,Sheet1!$A$34:$K$48,5,FALSE),IF(H60="UBIII",VLOOKUP($D61,Sheet1!$A$34:$K$48,8,FALSE),VLOOKUP($D61,Sheet1!$A$34:$K$48,2,FALSE)))</f>
        <v>2.86</v>
      </c>
      <c r="F61" s="182">
        <f>ROUNDDOWN((IF(H60="AFIII",VLOOKUP($D61,Sheet1!$A$34:$K$48,5,FALSE),IF(H60="UBIII",VLOOKUP($D61,Sheet1!$A$34:$K$48,8,FALSE),VLOOKUP($D61,Sheet1!$A$34:$K$48,2,FALSE))))*0.85,2)</f>
        <v>2.4300000000000002</v>
      </c>
      <c r="G61" s="182">
        <f>IF(M60="迅速",IF(S60="黒魔紋",$F$1,$E$1),IF(S60="黒魔紋",IF(F61&lt;$F$1,$F$1,F61),IF(E61&lt;$E$1,$E$1,E61)))</f>
        <v>2.86</v>
      </c>
      <c r="H61" s="183" t="s">
        <v>84</v>
      </c>
      <c r="I61" s="182">
        <f t="shared" si="58"/>
        <v>4.2800000000000011</v>
      </c>
      <c r="K61" s="182">
        <f t="shared" ref="K61:K62" si="60">K60-G61</f>
        <v>7.8240000000000016</v>
      </c>
      <c r="L61" s="182">
        <f t="shared" si="53"/>
        <v>52.787999999999997</v>
      </c>
      <c r="O61" s="182">
        <f t="shared" si="59"/>
        <v>10.367999999999999</v>
      </c>
      <c r="R61" s="182">
        <f t="shared" si="48"/>
        <v>5.477999999999998</v>
      </c>
      <c r="U61" s="184">
        <f t="shared" si="42"/>
        <v>7.9179999999999531</v>
      </c>
      <c r="V61" s="201">
        <f>IF(H60="AFIII",VLOOKUP(D61,Sheet1!$A$4:$H$18,5,FALSE),IF(H60="UBIII",VLOOKUP(D61,Sheet1!$A$4:$H$18,8,FALSE),IF(H60="",VLOOKUP(D61,Sheet1!$A$4:$H$18,2,FALSE),"0")))</f>
        <v>1768</v>
      </c>
      <c r="W61" s="201">
        <f t="shared" si="36"/>
        <v>0</v>
      </c>
      <c r="X61" s="208">
        <f t="shared" si="37"/>
        <v>1758</v>
      </c>
      <c r="Y61" s="171" t="str">
        <f t="shared" si="38"/>
        <v>SUCCESS</v>
      </c>
      <c r="Z61" s="171" t="str">
        <f t="shared" si="39"/>
        <v>SUCCESS</v>
      </c>
      <c r="AA61" s="185">
        <f t="shared" si="40"/>
        <v>150.27170974370054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168</v>
      </c>
      <c r="B62" s="113">
        <f t="shared" si="29"/>
        <v>22401</v>
      </c>
      <c r="C62" s="118">
        <f t="shared" si="54"/>
        <v>150.3420000000001</v>
      </c>
      <c r="D62" s="181" t="s">
        <v>12</v>
      </c>
      <c r="E62" s="182">
        <f>IF(H61="AFIII",VLOOKUP($D62,Sheet1!$A$34:$K$48,5,FALSE),IF(H61="UBIII",VLOOKUP($D62,Sheet1!$A$34:$K$48,8,FALSE),VLOOKUP($D62,Sheet1!$A$34:$K$48,2,FALSE)))</f>
        <v>1.67</v>
      </c>
      <c r="F62" s="182">
        <f>ROUNDDOWN((IF(H61="AFIII",VLOOKUP($D62,Sheet1!$A$34:$K$48,5,FALSE),IF(H61="UBIII",VLOOKUP($D62,Sheet1!$A$34:$K$48,8,FALSE),VLOOKUP($D62,Sheet1!$A$34:$K$48,2,FALSE))))*0.85,2)</f>
        <v>1.41</v>
      </c>
      <c r="G62" s="182">
        <f t="shared" ref="G62:G77" si="61">IF(M61="迅速",IF(S61="黒魔紋",$F$1,$E$1),IF(S61="黒魔紋",IF(F62&lt;$F$1,$F$1,F62),IF(E62&lt;$E$1,$E$1,E62)))</f>
        <v>2.39</v>
      </c>
      <c r="H62" s="183" t="s">
        <v>122</v>
      </c>
      <c r="I62" s="182">
        <v>10</v>
      </c>
      <c r="K62" s="182">
        <f t="shared" si="60"/>
        <v>5.4340000000000011</v>
      </c>
      <c r="L62" s="182">
        <f t="shared" si="53"/>
        <v>50.397999999999996</v>
      </c>
      <c r="O62" s="182">
        <f t="shared" si="59"/>
        <v>7.977999999999998</v>
      </c>
      <c r="R62" s="182">
        <f t="shared" si="48"/>
        <v>3.0879999999999979</v>
      </c>
      <c r="U62" s="184">
        <f t="shared" si="42"/>
        <v>5.5279999999999525</v>
      </c>
      <c r="V62" s="201">
        <f>IF(H61="AFIII",VLOOKUP(D62,Sheet1!$A$4:$H$18,5,FALSE),IF(H61="UBIII",VLOOKUP(D62,Sheet1!$A$4:$H$18,8,FALSE),IF(H61="",VLOOKUP(D62,Sheet1!$A$4:$H$18,2,FALSE),"0")))</f>
        <v>265</v>
      </c>
      <c r="W62" s="201">
        <f t="shared" si="36"/>
        <v>0</v>
      </c>
      <c r="X62" s="208">
        <f t="shared" si="37"/>
        <v>1493</v>
      </c>
      <c r="Y62" s="171" t="str">
        <f t="shared" si="38"/>
        <v>SUCCESS</v>
      </c>
      <c r="Z62" s="171" t="str">
        <f t="shared" si="39"/>
        <v>SUCCESS</v>
      </c>
      <c r="AA62" s="185">
        <f t="shared" si="40"/>
        <v>149.00027936305213</v>
      </c>
    </row>
    <row r="63" spans="1:27">
      <c r="A63" s="119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280</v>
      </c>
      <c r="B63" s="120">
        <f t="shared" si="29"/>
        <v>22681</v>
      </c>
      <c r="C63" s="121">
        <f t="shared" si="54"/>
        <v>153.20200000000011</v>
      </c>
      <c r="D63" s="191" t="s">
        <v>14</v>
      </c>
      <c r="E63" s="192">
        <f>IF(H62="AFIII",VLOOKUP($D63,Sheet1!$A$34:$K$48,5,FALSE),IF(H62="UBIII",VLOOKUP($D63,Sheet1!$A$34:$K$48,8,FALSE),VLOOKUP($D63,Sheet1!$A$34:$K$48,2,FALSE)))</f>
        <v>2.86</v>
      </c>
      <c r="F63" s="192">
        <f>ROUNDDOWN((IF(H62="AFIII",VLOOKUP($D63,Sheet1!$A$34:$K$48,5,FALSE),IF(H62="UBIII",VLOOKUP($D63,Sheet1!$A$34:$K$48,8,FALSE),VLOOKUP($D63,Sheet1!$A$34:$K$48,2,FALSE))))*0.85,2)</f>
        <v>2.4300000000000002</v>
      </c>
      <c r="G63" s="192">
        <f t="shared" si="61"/>
        <v>2.86</v>
      </c>
      <c r="H63" s="193" t="s">
        <v>122</v>
      </c>
      <c r="I63" s="192">
        <f t="shared" ref="I63" si="62">I62-G63</f>
        <v>7.1400000000000006</v>
      </c>
      <c r="J63" s="193"/>
      <c r="K63" s="192">
        <v>20</v>
      </c>
      <c r="L63" s="192">
        <f t="shared" si="53"/>
        <v>47.537999999999997</v>
      </c>
      <c r="M63" s="193"/>
      <c r="N63" s="192"/>
      <c r="O63" s="192">
        <f t="shared" si="59"/>
        <v>5.1179999999999986</v>
      </c>
      <c r="P63" s="193" t="s">
        <v>227</v>
      </c>
      <c r="Q63" s="192"/>
      <c r="R63" s="192">
        <f t="shared" si="48"/>
        <v>0.22799999999999798</v>
      </c>
      <c r="S63" s="193"/>
      <c r="T63" s="192"/>
      <c r="U63" s="194">
        <f t="shared" si="42"/>
        <v>2.6679999999999526</v>
      </c>
      <c r="V63" s="211">
        <f>IF(H62="AFIII",VLOOKUP(D63,Sheet1!$A$4:$H$18,5,FALSE),IF(H62="UBIII",VLOOKUP(D63,Sheet1!$A$4:$H$18,8,FALSE),IF(H62="",VLOOKUP(D63,Sheet1!$A$4:$H$18,2,FALSE),"0")))</f>
        <v>884</v>
      </c>
      <c r="W63" s="211">
        <f t="shared" si="36"/>
        <v>7033</v>
      </c>
      <c r="X63" s="212">
        <f t="shared" si="37"/>
        <v>7642</v>
      </c>
      <c r="Y63" s="195" t="str">
        <f t="shared" si="38"/>
        <v>SUCCESS</v>
      </c>
      <c r="Z63" s="195" t="str">
        <f t="shared" si="39"/>
        <v>SUCCESS</v>
      </c>
      <c r="AA63" s="185">
        <f t="shared" si="40"/>
        <v>148.04637015182558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168</v>
      </c>
      <c r="B64" s="113">
        <f t="shared" si="29"/>
        <v>22849</v>
      </c>
      <c r="C64" s="118">
        <f t="shared" si="54"/>
        <v>155.5920000000001</v>
      </c>
      <c r="D64" s="181" t="s">
        <v>4</v>
      </c>
      <c r="E64" s="182">
        <f>IF(H63="AFIII",VLOOKUP($D64,Sheet1!$A$34:$K$48,5,FALSE),IF(H63="UBIII",VLOOKUP($D64,Sheet1!$A$34:$K$48,8,FALSE),VLOOKUP($D64,Sheet1!$A$34:$K$48,2,FALSE)))</f>
        <v>1.67</v>
      </c>
      <c r="F64" s="182">
        <f>ROUNDDOWN((IF(H63="AFIII",VLOOKUP($D64,Sheet1!$A$34:$K$48,5,FALSE),IF(H63="UBIII",VLOOKUP($D64,Sheet1!$A$34:$K$48,8,FALSE),VLOOKUP($D64,Sheet1!$A$34:$K$48,2,FALSE))))*0.85,2)</f>
        <v>1.41</v>
      </c>
      <c r="G64" s="182">
        <f t="shared" si="61"/>
        <v>2.39</v>
      </c>
      <c r="H64" s="183" t="s">
        <v>84</v>
      </c>
      <c r="I64" s="182">
        <v>10</v>
      </c>
      <c r="K64" s="182">
        <f t="shared" ref="K64:K69" si="63">K63-G64</f>
        <v>17.61</v>
      </c>
      <c r="L64" s="182">
        <f t="shared" si="53"/>
        <v>45.147999999999996</v>
      </c>
      <c r="M64" s="183" t="s">
        <v>135</v>
      </c>
      <c r="O64" s="182">
        <f t="shared" si="59"/>
        <v>2.7279999999999984</v>
      </c>
      <c r="R64" s="182">
        <f t="shared" si="48"/>
        <v>-2.1620000000000021</v>
      </c>
      <c r="U64" s="184">
        <f t="shared" si="42"/>
        <v>0.27799999999995251</v>
      </c>
      <c r="V64" s="201">
        <f>IF(H63="AFIII",VLOOKUP(D64,Sheet1!$A$4:$H$18,5,FALSE),IF(H63="UBIII",VLOOKUP(D64,Sheet1!$A$4:$H$18,8,FALSE),IF(H63="",VLOOKUP(D64,Sheet1!$A$4:$H$18,2,FALSE),"0")))</f>
        <v>442</v>
      </c>
      <c r="W64" s="201">
        <f t="shared" si="36"/>
        <v>7033</v>
      </c>
      <c r="X64" s="208">
        <f t="shared" si="37"/>
        <v>10950</v>
      </c>
      <c r="Y64" s="171" t="str">
        <f t="shared" si="38"/>
        <v>SUCCESS</v>
      </c>
      <c r="Z64" s="171" t="str">
        <f t="shared" si="39"/>
        <v>SUCCESS</v>
      </c>
      <c r="AA64" s="185">
        <f t="shared" si="40"/>
        <v>146.85202324026932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504</v>
      </c>
      <c r="B65" s="113">
        <f t="shared" si="29"/>
        <v>23353</v>
      </c>
      <c r="C65" s="118">
        <f t="shared" si="54"/>
        <v>158.45200000000011</v>
      </c>
      <c r="D65" s="181" t="s">
        <v>6</v>
      </c>
      <c r="E65" s="182">
        <f>IF(H64="AFIII",VLOOKUP($D65,Sheet1!$A$34:$K$48,5,FALSE),IF(H64="UBIII",VLOOKUP($D65,Sheet1!$A$34:$K$48,8,FALSE),VLOOKUP($D65,Sheet1!$A$34:$K$48,2,FALSE)))</f>
        <v>2.86</v>
      </c>
      <c r="F65" s="182">
        <f>ROUNDDOWN((IF(H64="AFIII",VLOOKUP($D65,Sheet1!$A$34:$K$48,5,FALSE),IF(H64="UBIII",VLOOKUP($D65,Sheet1!$A$34:$K$48,8,FALSE),VLOOKUP($D65,Sheet1!$A$34:$K$48,2,FALSE))))*0.85,2)</f>
        <v>2.4300000000000002</v>
      </c>
      <c r="G65" s="182">
        <f t="shared" si="61"/>
        <v>2.86</v>
      </c>
      <c r="H65" s="183" t="s">
        <v>84</v>
      </c>
      <c r="I65" s="182">
        <f t="shared" ref="I65:I66" si="64">I64-G65</f>
        <v>7.1400000000000006</v>
      </c>
      <c r="K65" s="182">
        <f t="shared" si="63"/>
        <v>14.75</v>
      </c>
      <c r="L65" s="182">
        <f t="shared" si="53"/>
        <v>42.287999999999997</v>
      </c>
      <c r="O65" s="182">
        <f t="shared" si="59"/>
        <v>-0.13200000000000145</v>
      </c>
      <c r="U65" s="184">
        <f t="shared" si="42"/>
        <v>-2.5820000000000474</v>
      </c>
      <c r="V65" s="201">
        <f>IF(H64="AFIII",VLOOKUP(D65,Sheet1!$A$4:$H$18,5,FALSE),IF(H64="UBIII",VLOOKUP(D65,Sheet1!$A$4:$H$18,8,FALSE),IF(H64="",VLOOKUP(D65,Sheet1!$A$4:$H$18,2,FALSE),"0")))</f>
        <v>1768</v>
      </c>
      <c r="W65" s="201">
        <f t="shared" si="36"/>
        <v>0</v>
      </c>
      <c r="X65" s="208">
        <f t="shared" si="37"/>
        <v>9182</v>
      </c>
      <c r="Y65" s="171" t="str">
        <f t="shared" si="38"/>
        <v>SUCCESS</v>
      </c>
      <c r="Z65" s="171" t="str">
        <f t="shared" si="39"/>
        <v>SUCCESS</v>
      </c>
      <c r="AA65" s="185">
        <f t="shared" si="40"/>
        <v>147.38217251912241</v>
      </c>
    </row>
    <row r="66" spans="1:27">
      <c r="A66" s="112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504</v>
      </c>
      <c r="B66" s="113">
        <f t="shared" si="29"/>
        <v>23857</v>
      </c>
      <c r="C66" s="118">
        <f t="shared" si="54"/>
        <v>161.31200000000013</v>
      </c>
      <c r="D66" s="181" t="s">
        <v>6</v>
      </c>
      <c r="E66" s="182">
        <f>IF(H65="AFIII",VLOOKUP($D66,Sheet1!$A$34:$K$48,5,FALSE),IF(H65="UBIII",VLOOKUP($D66,Sheet1!$A$34:$K$48,8,FALSE),VLOOKUP($D66,Sheet1!$A$34:$K$48,2,FALSE)))</f>
        <v>2.86</v>
      </c>
      <c r="F66" s="182">
        <f>ROUNDDOWN((IF(H65="AFIII",VLOOKUP($D66,Sheet1!$A$34:$K$48,5,FALSE),IF(H65="UBIII",VLOOKUP($D66,Sheet1!$A$34:$K$48,8,FALSE),VLOOKUP($D66,Sheet1!$A$34:$K$48,2,FALSE))))*0.85,2)</f>
        <v>2.4300000000000002</v>
      </c>
      <c r="G66" s="182">
        <f t="shared" si="61"/>
        <v>2.86</v>
      </c>
      <c r="H66" s="183" t="s">
        <v>84</v>
      </c>
      <c r="I66" s="182">
        <f t="shared" si="64"/>
        <v>4.2800000000000011</v>
      </c>
      <c r="K66" s="182">
        <f t="shared" si="63"/>
        <v>11.89</v>
      </c>
      <c r="L66" s="182">
        <f t="shared" si="53"/>
        <v>39.427999999999997</v>
      </c>
      <c r="O66" s="182">
        <f t="shared" si="59"/>
        <v>-2.9920000000000013</v>
      </c>
      <c r="U66" s="184">
        <f t="shared" si="42"/>
        <v>-5.4420000000000472</v>
      </c>
      <c r="V66" s="201">
        <f>IF(H65="AFIII",VLOOKUP(D66,Sheet1!$A$4:$H$18,5,FALSE),IF(H65="UBIII",VLOOKUP(D66,Sheet1!$A$4:$H$18,8,FALSE),IF(H65="",VLOOKUP(D66,Sheet1!$A$4:$H$18,2,FALSE),"0")))</f>
        <v>1768</v>
      </c>
      <c r="W66" s="201">
        <f t="shared" si="36"/>
        <v>0</v>
      </c>
      <c r="X66" s="208">
        <f t="shared" si="37"/>
        <v>7414</v>
      </c>
      <c r="Y66" s="171" t="str">
        <f t="shared" si="38"/>
        <v>SUCCESS</v>
      </c>
      <c r="Z66" s="171" t="str">
        <f t="shared" si="39"/>
        <v>SUCCESS</v>
      </c>
      <c r="AA66" s="185">
        <f t="shared" si="40"/>
        <v>147.89352311049385</v>
      </c>
    </row>
    <row r="67" spans="1:27">
      <c r="A67" s="112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324</v>
      </c>
      <c r="B67" s="113">
        <f t="shared" si="29"/>
        <v>24181</v>
      </c>
      <c r="C67" s="118">
        <f t="shared" si="54"/>
        <v>163.70200000000011</v>
      </c>
      <c r="D67" s="181" t="s">
        <v>1</v>
      </c>
      <c r="E67" s="182">
        <f>IF(H66="AFIII",VLOOKUP($D67,Sheet1!$A$34:$K$48,5,FALSE),IF(H66="UBIII",VLOOKUP($D67,Sheet1!$A$34:$K$48,8,FALSE),VLOOKUP($D67,Sheet1!$A$34:$K$48,2,FALSE)))</f>
        <v>2.39</v>
      </c>
      <c r="F67" s="182">
        <f>ROUNDDOWN((IF(H66="AFIII",VLOOKUP($D67,Sheet1!$A$34:$K$48,5,FALSE),IF(H66="UBIII",VLOOKUP($D67,Sheet1!$A$34:$K$48,8,FALSE),VLOOKUP($D67,Sheet1!$A$34:$K$48,2,FALSE))))*0.85,2)</f>
        <v>2.0299999999999998</v>
      </c>
      <c r="G67" s="182">
        <f t="shared" si="61"/>
        <v>2.39</v>
      </c>
      <c r="H67" s="183" t="s">
        <v>84</v>
      </c>
      <c r="I67" s="182">
        <v>10</v>
      </c>
      <c r="K67" s="182">
        <f t="shared" si="63"/>
        <v>9.5</v>
      </c>
      <c r="L67" s="182">
        <f t="shared" si="53"/>
        <v>37.037999999999997</v>
      </c>
      <c r="M67" s="183" t="s">
        <v>226</v>
      </c>
      <c r="O67" s="182">
        <f>O12-SUM(G13:G67)</f>
        <v>-142.69200000000004</v>
      </c>
      <c r="V67" s="201">
        <f>IF(H66="AFIII",VLOOKUP(D67,Sheet1!$A$4:$H$18,5,FALSE),IF(H66="UBIII",VLOOKUP(D67,Sheet1!$A$4:$H$18,8,FALSE),IF(H66="",VLOOKUP(D67,Sheet1!$A$4:$H$18,2,FALSE),"0")))</f>
        <v>2120</v>
      </c>
      <c r="W67" s="201">
        <f t="shared" si="36"/>
        <v>0</v>
      </c>
      <c r="X67" s="208">
        <f t="shared" si="37"/>
        <v>5294</v>
      </c>
      <c r="Y67" s="171" t="str">
        <f t="shared" si="38"/>
        <v>SUCCESS</v>
      </c>
      <c r="Z67" s="171" t="str">
        <f t="shared" si="39"/>
        <v>SUCCESS</v>
      </c>
      <c r="AA67" s="185">
        <f t="shared" si="40"/>
        <v>147.71352824033906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504</v>
      </c>
      <c r="B68" s="113">
        <f t="shared" si="29"/>
        <v>24685</v>
      </c>
      <c r="C68" s="118">
        <f t="shared" si="54"/>
        <v>166.56200000000013</v>
      </c>
      <c r="D68" s="181" t="s">
        <v>6</v>
      </c>
      <c r="E68" s="182">
        <f>IF(H67="AFIII",VLOOKUP($D68,Sheet1!$A$34:$K$48,5,FALSE),IF(H67="UBIII",VLOOKUP($D68,Sheet1!$A$34:$K$48,8,FALSE),VLOOKUP($D68,Sheet1!$A$34:$K$48,2,FALSE)))</f>
        <v>2.86</v>
      </c>
      <c r="F68" s="182">
        <f>ROUNDDOWN((IF(H67="AFIII",VLOOKUP($D68,Sheet1!$A$34:$K$48,5,FALSE),IF(H67="UBIII",VLOOKUP($D68,Sheet1!$A$34:$K$48,8,FALSE),VLOOKUP($D68,Sheet1!$A$34:$K$48,2,FALSE))))*0.85,2)</f>
        <v>2.4300000000000002</v>
      </c>
      <c r="G68" s="182">
        <f t="shared" si="61"/>
        <v>2.86</v>
      </c>
      <c r="H68" s="183" t="s">
        <v>84</v>
      </c>
      <c r="I68" s="182">
        <f t="shared" ref="I68" si="65">I67-G68</f>
        <v>7.1400000000000006</v>
      </c>
      <c r="K68" s="182">
        <f t="shared" si="63"/>
        <v>6.6400000000000006</v>
      </c>
      <c r="L68" s="182">
        <f t="shared" si="53"/>
        <v>34.177999999999997</v>
      </c>
      <c r="O68" s="182">
        <f>O67-G68</f>
        <v>-145.55200000000005</v>
      </c>
      <c r="V68" s="201">
        <f>IF(H67="AFIII",VLOOKUP(D68,Sheet1!$A$4:$H$18,5,FALSE),IF(H67="UBIII",VLOOKUP(D68,Sheet1!$A$4:$H$18,8,FALSE),IF(H67="",VLOOKUP(D68,Sheet1!$A$4:$H$18,2,FALSE),"0")))</f>
        <v>1768</v>
      </c>
      <c r="W68" s="201">
        <f t="shared" si="36"/>
        <v>0</v>
      </c>
      <c r="X68" s="208">
        <f t="shared" si="37"/>
        <v>3526</v>
      </c>
      <c r="Y68" s="171" t="str">
        <f t="shared" si="38"/>
        <v>SUCCESS</v>
      </c>
      <c r="Z68" s="171" t="str">
        <f t="shared" si="39"/>
        <v>SUCCESS</v>
      </c>
      <c r="AA68" s="185">
        <f t="shared" si="40"/>
        <v>148.20307152892005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168</v>
      </c>
      <c r="B69" s="113">
        <f t="shared" si="29"/>
        <v>24853</v>
      </c>
      <c r="C69" s="118">
        <f t="shared" si="54"/>
        <v>168.95200000000011</v>
      </c>
      <c r="D69" s="181" t="s">
        <v>12</v>
      </c>
      <c r="E69" s="182">
        <f>IF(H68="AFIII",VLOOKUP($D69,Sheet1!$A$34:$K$48,5,FALSE),IF(H68="UBIII",VLOOKUP($D69,Sheet1!$A$34:$K$48,8,FALSE),VLOOKUP($D69,Sheet1!$A$34:$K$48,2,FALSE)))</f>
        <v>1.67</v>
      </c>
      <c r="F69" s="182">
        <f>ROUNDDOWN((IF(H68="AFIII",VLOOKUP($D69,Sheet1!$A$34:$K$48,5,FALSE),IF(H68="UBIII",VLOOKUP($D69,Sheet1!$A$34:$K$48,8,FALSE),VLOOKUP($D69,Sheet1!$A$34:$K$48,2,FALSE))))*0.85,2)</f>
        <v>1.41</v>
      </c>
      <c r="G69" s="182">
        <f t="shared" si="61"/>
        <v>2.39</v>
      </c>
      <c r="H69" s="183" t="s">
        <v>122</v>
      </c>
      <c r="I69" s="182">
        <v>10</v>
      </c>
      <c r="K69" s="182">
        <f t="shared" si="63"/>
        <v>4.25</v>
      </c>
      <c r="L69" s="182">
        <f t="shared" si="53"/>
        <v>31.787999999999997</v>
      </c>
      <c r="O69" s="182">
        <f t="shared" ref="O69:O80" si="66">O68-G69</f>
        <v>-147.94200000000004</v>
      </c>
      <c r="V69" s="201">
        <f>IF(H68="AFIII",VLOOKUP(D69,Sheet1!$A$4:$H$18,5,FALSE),IF(H68="UBIII",VLOOKUP(D69,Sheet1!$A$4:$H$18,8,FALSE),IF(H68="",VLOOKUP(D69,Sheet1!$A$4:$H$18,2,FALSE),"0")))</f>
        <v>265</v>
      </c>
      <c r="W69" s="201">
        <f t="shared" si="36"/>
        <v>0</v>
      </c>
      <c r="X69" s="208">
        <f t="shared" si="37"/>
        <v>3261</v>
      </c>
      <c r="Y69" s="171" t="str">
        <f t="shared" si="38"/>
        <v>SUCCESS</v>
      </c>
      <c r="Z69" s="171" t="str">
        <f t="shared" si="39"/>
        <v>SUCCESS</v>
      </c>
      <c r="AA69" s="185">
        <f t="shared" si="40"/>
        <v>147.10095174960927</v>
      </c>
    </row>
    <row r="70" spans="1:27">
      <c r="A70" s="119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280</v>
      </c>
      <c r="B70" s="120">
        <f t="shared" si="29"/>
        <v>25133</v>
      </c>
      <c r="C70" s="121">
        <f t="shared" si="54"/>
        <v>171.81200000000013</v>
      </c>
      <c r="D70" s="191" t="s">
        <v>14</v>
      </c>
      <c r="E70" s="192">
        <f>IF(H69="AFIII",VLOOKUP($D70,Sheet1!$A$34:$K$48,5,FALSE),IF(H69="UBIII",VLOOKUP($D70,Sheet1!$A$34:$K$48,8,FALSE),VLOOKUP($D70,Sheet1!$A$34:$K$48,2,FALSE)))</f>
        <v>2.86</v>
      </c>
      <c r="F70" s="192">
        <f>ROUNDDOWN((IF(H69="AFIII",VLOOKUP($D70,Sheet1!$A$34:$K$48,5,FALSE),IF(H69="UBIII",VLOOKUP($D70,Sheet1!$A$34:$K$48,8,FALSE),VLOOKUP($D70,Sheet1!$A$34:$K$48,2,FALSE))))*0.85,2)</f>
        <v>2.4300000000000002</v>
      </c>
      <c r="G70" s="192">
        <f t="shared" si="61"/>
        <v>2.86</v>
      </c>
      <c r="H70" s="193" t="s">
        <v>122</v>
      </c>
      <c r="I70" s="192">
        <f t="shared" ref="I70" si="67">I69-G70</f>
        <v>7.1400000000000006</v>
      </c>
      <c r="J70" s="193"/>
      <c r="K70" s="192">
        <v>15</v>
      </c>
      <c r="L70" s="192">
        <f t="shared" si="53"/>
        <v>28.927999999999997</v>
      </c>
      <c r="M70" s="193"/>
      <c r="N70" s="192"/>
      <c r="O70" s="192">
        <f t="shared" si="66"/>
        <v>-150.80200000000005</v>
      </c>
      <c r="P70" s="193"/>
      <c r="Q70" s="192"/>
      <c r="R70" s="192"/>
      <c r="S70" s="193"/>
      <c r="T70" s="192"/>
      <c r="U70" s="194"/>
      <c r="V70" s="211">
        <f>IF(H69="AFIII",VLOOKUP(D70,Sheet1!$A$4:$H$18,5,FALSE),IF(H69="UBIII",VLOOKUP(D70,Sheet1!$A$4:$H$18,8,FALSE),IF(H69="",VLOOKUP(D70,Sheet1!$A$4:$H$18,2,FALSE),"0")))</f>
        <v>884</v>
      </c>
      <c r="W70" s="211">
        <f t="shared" si="36"/>
        <v>7033</v>
      </c>
      <c r="X70" s="212">
        <f t="shared" si="37"/>
        <v>9410</v>
      </c>
      <c r="Y70" s="195" t="str">
        <f t="shared" si="38"/>
        <v>SUCCESS</v>
      </c>
      <c r="Z70" s="195" t="str">
        <f t="shared" si="39"/>
        <v>SUCCESS</v>
      </c>
      <c r="AA70" s="185">
        <f t="shared" si="40"/>
        <v>146.28198263217925</v>
      </c>
    </row>
    <row r="71" spans="1:27">
      <c r="A71" s="112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168</v>
      </c>
      <c r="B71" s="113">
        <f t="shared" si="29"/>
        <v>25301</v>
      </c>
      <c r="C71" s="118">
        <f t="shared" si="54"/>
        <v>174.20200000000011</v>
      </c>
      <c r="D71" s="181" t="s">
        <v>4</v>
      </c>
      <c r="E71" s="182">
        <f>IF(H70="AFIII",VLOOKUP($D71,Sheet1!$A$34:$K$48,5,FALSE),IF(H70="UBIII",VLOOKUP($D71,Sheet1!$A$34:$K$48,8,FALSE),VLOOKUP($D71,Sheet1!$A$34:$K$48,2,FALSE)))</f>
        <v>1.67</v>
      </c>
      <c r="F71" s="182">
        <f>ROUNDDOWN((IF(H70="AFIII",VLOOKUP($D71,Sheet1!$A$34:$K$48,5,FALSE),IF(H70="UBIII",VLOOKUP($D71,Sheet1!$A$34:$K$48,8,FALSE),VLOOKUP($D71,Sheet1!$A$34:$K$48,2,FALSE))))*0.85,2)</f>
        <v>1.41</v>
      </c>
      <c r="G71" s="182">
        <f t="shared" si="61"/>
        <v>2.39</v>
      </c>
      <c r="H71" s="183" t="s">
        <v>84</v>
      </c>
      <c r="I71" s="182">
        <v>10</v>
      </c>
      <c r="K71" s="182">
        <f t="shared" ref="K71:K76" si="68">K70-G71</f>
        <v>12.61</v>
      </c>
      <c r="L71" s="182">
        <f t="shared" si="53"/>
        <v>26.537999999999997</v>
      </c>
      <c r="O71" s="182">
        <f t="shared" si="66"/>
        <v>-153.19200000000004</v>
      </c>
      <c r="V71" s="201">
        <f>IF(H70="AFIII",VLOOKUP(D71,Sheet1!$A$4:$H$18,5,FALSE),IF(H70="UBIII",VLOOKUP(D71,Sheet1!$A$4:$H$18,8,FALSE),IF(H70="",VLOOKUP(D71,Sheet1!$A$4:$H$18,2,FALSE),"0")))</f>
        <v>442</v>
      </c>
      <c r="W71" s="201">
        <f t="shared" si="36"/>
        <v>7033</v>
      </c>
      <c r="X71" s="208">
        <f t="shared" si="37"/>
        <v>10950</v>
      </c>
      <c r="Y71" s="171" t="str">
        <f t="shared" si="38"/>
        <v>SUCCESS</v>
      </c>
      <c r="Z71" s="171" t="str">
        <f t="shared" si="39"/>
        <v>SUCCESS</v>
      </c>
      <c r="AA71" s="185">
        <f t="shared" si="40"/>
        <v>145.23943467928029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504</v>
      </c>
      <c r="B72" s="113">
        <f t="shared" si="29"/>
        <v>25805</v>
      </c>
      <c r="C72" s="118">
        <f t="shared" si="54"/>
        <v>177.06200000000013</v>
      </c>
      <c r="D72" s="181" t="s">
        <v>6</v>
      </c>
      <c r="E72" s="182">
        <f>IF(H71="AFIII",VLOOKUP($D72,Sheet1!$A$34:$K$48,5,FALSE),IF(H71="UBIII",VLOOKUP($D72,Sheet1!$A$34:$K$48,8,FALSE),VLOOKUP($D72,Sheet1!$A$34:$K$48,2,FALSE)))</f>
        <v>2.86</v>
      </c>
      <c r="F72" s="182">
        <f>ROUNDDOWN((IF(H71="AFIII",VLOOKUP($D72,Sheet1!$A$34:$K$48,5,FALSE),IF(H71="UBIII",VLOOKUP($D72,Sheet1!$A$34:$K$48,8,FALSE),VLOOKUP($D72,Sheet1!$A$34:$K$48,2,FALSE))))*0.85,2)</f>
        <v>2.4300000000000002</v>
      </c>
      <c r="G72" s="182">
        <f t="shared" si="61"/>
        <v>2.86</v>
      </c>
      <c r="H72" s="183" t="s">
        <v>84</v>
      </c>
      <c r="I72" s="182">
        <f t="shared" ref="I72:I73" si="69">I71-G72</f>
        <v>7.1400000000000006</v>
      </c>
      <c r="K72" s="182">
        <f t="shared" si="68"/>
        <v>9.75</v>
      </c>
      <c r="L72" s="182">
        <f t="shared" si="53"/>
        <v>23.677999999999997</v>
      </c>
      <c r="O72" s="182">
        <f t="shared" si="66"/>
        <v>-156.05200000000005</v>
      </c>
      <c r="V72" s="201">
        <f>IF(H71="AFIII",VLOOKUP(D72,Sheet1!$A$4:$H$18,5,FALSE),IF(H71="UBIII",VLOOKUP(D72,Sheet1!$A$4:$H$18,8,FALSE),IF(H71="",VLOOKUP(D72,Sheet1!$A$4:$H$18,2,FALSE),"0")))</f>
        <v>1768</v>
      </c>
      <c r="W72" s="201">
        <f t="shared" si="36"/>
        <v>0</v>
      </c>
      <c r="X72" s="208">
        <f t="shared" si="37"/>
        <v>9182</v>
      </c>
      <c r="Y72" s="171" t="str">
        <f t="shared" si="38"/>
        <v>SUCCESS</v>
      </c>
      <c r="Z72" s="171" t="str">
        <f t="shared" si="39"/>
        <v>SUCCESS</v>
      </c>
      <c r="AA72" s="185">
        <f t="shared" si="40"/>
        <v>145.73991031390125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504</v>
      </c>
      <c r="B73" s="113">
        <f t="shared" si="29"/>
        <v>26309</v>
      </c>
      <c r="C73" s="118">
        <f t="shared" si="54"/>
        <v>179.92200000000014</v>
      </c>
      <c r="D73" s="181" t="s">
        <v>6</v>
      </c>
      <c r="E73" s="182">
        <f>IF(H72="AFIII",VLOOKUP($D73,Sheet1!$A$34:$K$48,5,FALSE),IF(H72="UBIII",VLOOKUP($D73,Sheet1!$A$34:$K$48,8,FALSE),VLOOKUP($D73,Sheet1!$A$34:$K$48,2,FALSE)))</f>
        <v>2.86</v>
      </c>
      <c r="F73" s="182">
        <f>ROUNDDOWN((IF(H72="AFIII",VLOOKUP($D73,Sheet1!$A$34:$K$48,5,FALSE),IF(H72="UBIII",VLOOKUP($D73,Sheet1!$A$34:$K$48,8,FALSE),VLOOKUP($D73,Sheet1!$A$34:$K$48,2,FALSE))))*0.85,2)</f>
        <v>2.4300000000000002</v>
      </c>
      <c r="G73" s="182">
        <f t="shared" si="61"/>
        <v>2.86</v>
      </c>
      <c r="H73" s="183" t="s">
        <v>84</v>
      </c>
      <c r="I73" s="182">
        <f t="shared" si="69"/>
        <v>4.2800000000000011</v>
      </c>
      <c r="K73" s="182">
        <f t="shared" si="68"/>
        <v>6.8900000000000006</v>
      </c>
      <c r="L73" s="182">
        <f t="shared" si="53"/>
        <v>20.817999999999998</v>
      </c>
      <c r="O73" s="182">
        <f t="shared" si="66"/>
        <v>-158.91200000000006</v>
      </c>
      <c r="V73" s="201">
        <f>IF(H72="AFIII",VLOOKUP(D73,Sheet1!$A$4:$H$18,5,FALSE),IF(H72="UBIII",VLOOKUP(D73,Sheet1!$A$4:$H$18,8,FALSE),IF(H72="",VLOOKUP(D73,Sheet1!$A$4:$H$18,2,FALSE),"0")))</f>
        <v>1768</v>
      </c>
      <c r="W73" s="201">
        <f t="shared" si="36"/>
        <v>0</v>
      </c>
      <c r="X73" s="208">
        <f t="shared" si="37"/>
        <v>7414</v>
      </c>
      <c r="Y73" s="171" t="str">
        <f t="shared" si="38"/>
        <v>SUCCESS</v>
      </c>
      <c r="Z73" s="171" t="str">
        <f t="shared" si="39"/>
        <v>SUCCESS</v>
      </c>
      <c r="AA73" s="185">
        <f t="shared" si="40"/>
        <v>146.22447505029947</v>
      </c>
    </row>
    <row r="74" spans="1:27">
      <c r="A74" s="112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496</v>
      </c>
      <c r="B74" s="113">
        <f t="shared" si="29"/>
        <v>26805</v>
      </c>
      <c r="C74" s="118">
        <f t="shared" si="54"/>
        <v>183.26800000000014</v>
      </c>
      <c r="D74" s="181" t="s">
        <v>128</v>
      </c>
      <c r="E74" s="182">
        <f>IF(H73="AFIII",VLOOKUP($D74,Sheet1!$A$34:$K$48,5,FALSE),IF(H73="UBIII",VLOOKUP($D74,Sheet1!$A$34:$K$48,8,FALSE),VLOOKUP($D74,Sheet1!$A$34:$K$48,2,FALSE)))</f>
        <v>3.3460000000000001</v>
      </c>
      <c r="F74" s="182">
        <f>ROUNDDOWN((IF(H73="AFIII",VLOOKUP($D74,Sheet1!$A$34:$K$48,5,FALSE),IF(H73="UBIII",VLOOKUP($D74,Sheet1!$A$34:$K$48,8,FALSE),VLOOKUP($D74,Sheet1!$A$34:$K$48,2,FALSE))))*0.85,2)</f>
        <v>2.84</v>
      </c>
      <c r="G74" s="182">
        <f t="shared" si="61"/>
        <v>3.3460000000000001</v>
      </c>
      <c r="H74" s="183" t="s">
        <v>84</v>
      </c>
      <c r="I74" s="182">
        <v>10</v>
      </c>
      <c r="K74" s="182">
        <f t="shared" si="68"/>
        <v>3.5440000000000005</v>
      </c>
      <c r="L74" s="182">
        <f t="shared" si="53"/>
        <v>17.471999999999998</v>
      </c>
      <c r="O74" s="182">
        <f t="shared" si="66"/>
        <v>-162.25800000000007</v>
      </c>
      <c r="V74" s="201">
        <f>IF(H73="AFIII",VLOOKUP(D74,Sheet1!$A$4:$H$18,5,FALSE),IF(H73="UBIII",VLOOKUP(D74,Sheet1!$A$4:$H$18,8,FALSE),IF(H73="",VLOOKUP(D74,Sheet1!$A$4:$H$18,2,FALSE),"0")))</f>
        <v>2120</v>
      </c>
      <c r="W74" s="201">
        <f t="shared" si="36"/>
        <v>0</v>
      </c>
      <c r="X74" s="208">
        <f t="shared" si="37"/>
        <v>5294</v>
      </c>
      <c r="Y74" s="171" t="str">
        <f t="shared" si="38"/>
        <v>SUCCESS</v>
      </c>
      <c r="Z74" s="171" t="str">
        <f t="shared" si="39"/>
        <v>SUCCESS</v>
      </c>
      <c r="AA74" s="185">
        <f t="shared" si="40"/>
        <v>146.26121308684537</v>
      </c>
    </row>
    <row r="75" spans="1:27">
      <c r="A75" s="112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504</v>
      </c>
      <c r="B75" s="113">
        <f t="shared" si="29"/>
        <v>27309</v>
      </c>
      <c r="C75" s="118">
        <f t="shared" si="54"/>
        <v>186.12800000000016</v>
      </c>
      <c r="D75" s="181" t="s">
        <v>6</v>
      </c>
      <c r="E75" s="182">
        <f>IF(H74="AFIII",VLOOKUP($D75,Sheet1!$A$34:$K$48,5,FALSE),IF(H74="UBIII",VLOOKUP($D75,Sheet1!$A$34:$K$48,8,FALSE),VLOOKUP($D75,Sheet1!$A$34:$K$48,2,FALSE)))</f>
        <v>2.86</v>
      </c>
      <c r="F75" s="182">
        <f>ROUNDDOWN((IF(H74="AFIII",VLOOKUP($D75,Sheet1!$A$34:$K$48,5,FALSE),IF(H74="UBIII",VLOOKUP($D75,Sheet1!$A$34:$K$48,8,FALSE),VLOOKUP($D75,Sheet1!$A$34:$K$48,2,FALSE))))*0.85,2)</f>
        <v>2.4300000000000002</v>
      </c>
      <c r="G75" s="182">
        <f t="shared" si="61"/>
        <v>2.86</v>
      </c>
      <c r="H75" s="183" t="s">
        <v>84</v>
      </c>
      <c r="I75" s="182">
        <f t="shared" ref="I75" si="70">I74-G75</f>
        <v>7.1400000000000006</v>
      </c>
      <c r="K75" s="182">
        <f t="shared" si="68"/>
        <v>0.68400000000000061</v>
      </c>
      <c r="L75" s="182">
        <f t="shared" si="53"/>
        <v>14.611999999999998</v>
      </c>
      <c r="O75" s="182">
        <f t="shared" si="66"/>
        <v>-165.11800000000008</v>
      </c>
      <c r="V75" s="201">
        <f>IF(H74="AFIII",VLOOKUP(D75,Sheet1!$A$4:$H$18,5,FALSE),IF(H74="UBIII",VLOOKUP(D75,Sheet1!$A$4:$H$18,8,FALSE),IF(H74="",VLOOKUP(D75,Sheet1!$A$4:$H$18,2,FALSE),"0")))</f>
        <v>1768</v>
      </c>
      <c r="W75" s="201">
        <f t="shared" si="36"/>
        <v>0</v>
      </c>
      <c r="X75" s="208">
        <f t="shared" si="37"/>
        <v>3526</v>
      </c>
      <c r="Y75" s="171" t="str">
        <f t="shared" si="38"/>
        <v>SUCCESS</v>
      </c>
      <c r="Z75" s="171" t="str">
        <f t="shared" si="39"/>
        <v>SUCCESS</v>
      </c>
      <c r="AA75" s="185">
        <f t="shared" si="40"/>
        <v>146.72161093441059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168</v>
      </c>
      <c r="B76" s="113">
        <f t="shared" si="29"/>
        <v>27477</v>
      </c>
      <c r="C76" s="118">
        <f t="shared" si="54"/>
        <v>188.51800000000014</v>
      </c>
      <c r="D76" s="181" t="s">
        <v>12</v>
      </c>
      <c r="E76" s="182">
        <f>IF(H75="AFIII",VLOOKUP($D76,Sheet1!$A$34:$K$48,5,FALSE),IF(H75="UBIII",VLOOKUP($D76,Sheet1!$A$34:$K$48,8,FALSE),VLOOKUP($D76,Sheet1!$A$34:$K$48,2,FALSE)))</f>
        <v>1.67</v>
      </c>
      <c r="F76" s="182">
        <f>ROUNDDOWN((IF(H75="AFIII",VLOOKUP($D76,Sheet1!$A$34:$K$48,5,FALSE),IF(H75="UBIII",VLOOKUP($D76,Sheet1!$A$34:$K$48,8,FALSE),VLOOKUP($D76,Sheet1!$A$34:$K$48,2,FALSE))))*0.85,2)</f>
        <v>1.41</v>
      </c>
      <c r="G76" s="182">
        <f t="shared" si="61"/>
        <v>2.39</v>
      </c>
      <c r="H76" s="183" t="s">
        <v>122</v>
      </c>
      <c r="I76" s="182">
        <v>10</v>
      </c>
      <c r="K76" s="182">
        <f t="shared" si="68"/>
        <v>-1.7059999999999995</v>
      </c>
      <c r="L76" s="182">
        <f t="shared" si="53"/>
        <v>12.221999999999998</v>
      </c>
      <c r="O76" s="182">
        <f t="shared" si="66"/>
        <v>-167.50800000000007</v>
      </c>
      <c r="V76" s="201">
        <f>IF(H75="AFIII",VLOOKUP(D76,Sheet1!$A$4:$H$18,5,FALSE),IF(H75="UBIII",VLOOKUP(D76,Sheet1!$A$4:$H$18,8,FALSE),IF(H75="",VLOOKUP(D76,Sheet1!$A$4:$H$18,2,FALSE),"0")))</f>
        <v>265</v>
      </c>
      <c r="W76" s="201">
        <f t="shared" si="36"/>
        <v>0</v>
      </c>
      <c r="X76" s="208">
        <f t="shared" si="37"/>
        <v>3261</v>
      </c>
      <c r="Y76" s="171" t="str">
        <f t="shared" si="38"/>
        <v>SUCCESS</v>
      </c>
      <c r="Z76" s="171" t="str">
        <f t="shared" si="39"/>
        <v>ERROR</v>
      </c>
      <c r="AA76" s="185">
        <f t="shared" si="40"/>
        <v>145.75266022342683</v>
      </c>
    </row>
    <row r="77" spans="1:27" ht="12.75" thickBot="1">
      <c r="A77" s="116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295</v>
      </c>
      <c r="B77" s="117">
        <f t="shared" si="29"/>
        <v>27772</v>
      </c>
      <c r="C77" s="125">
        <f t="shared" si="54"/>
        <v>191.37800000000016</v>
      </c>
      <c r="D77" s="196" t="s">
        <v>19</v>
      </c>
      <c r="E77" s="197">
        <f>IF(H76="AFIII",VLOOKUP($D77,Sheet1!$A$34:$K$48,5,FALSE),IF(H76="UBIII",VLOOKUP($D77,Sheet1!$A$34:$K$48,8,FALSE),VLOOKUP($D77,Sheet1!$A$34:$K$48,2,FALSE)))</f>
        <v>2.86</v>
      </c>
      <c r="F77" s="197">
        <f>ROUNDDOWN((IF(H76="AFIII",VLOOKUP($D77,Sheet1!$A$34:$K$48,5,FALSE),IF(H76="UBIII",VLOOKUP($D77,Sheet1!$A$34:$K$48,8,FALSE),VLOOKUP($D77,Sheet1!$A$34:$K$48,2,FALSE))))*0.85,2)</f>
        <v>2.4300000000000002</v>
      </c>
      <c r="G77" s="197">
        <f t="shared" si="61"/>
        <v>2.86</v>
      </c>
      <c r="H77" s="198" t="s">
        <v>122</v>
      </c>
      <c r="I77" s="197">
        <f>I76-G77</f>
        <v>7.1400000000000006</v>
      </c>
      <c r="J77" s="198"/>
      <c r="K77" s="197"/>
      <c r="L77" s="197">
        <f t="shared" si="53"/>
        <v>9.3619999999999983</v>
      </c>
      <c r="M77" s="198"/>
      <c r="N77" s="197"/>
      <c r="O77" s="197">
        <f t="shared" si="66"/>
        <v>-170.36800000000008</v>
      </c>
      <c r="P77" s="198" t="s">
        <v>17</v>
      </c>
      <c r="Q77" s="197">
        <v>21</v>
      </c>
      <c r="R77" s="197"/>
      <c r="S77" s="198"/>
      <c r="T77" s="197"/>
      <c r="U77" s="199"/>
      <c r="V77" s="206">
        <f>IF(H76="AFIII",VLOOKUP(D77,Sheet1!$A$4:$H$18,5,FALSE),IF(H76="UBIII",VLOOKUP(D77,Sheet1!$A$4:$H$18,8,FALSE),IF(H76="",VLOOKUP(D77,Sheet1!$A$4:$H$18,2,FALSE),"0")))</f>
        <v>1060</v>
      </c>
      <c r="W77" s="206">
        <f t="shared" si="36"/>
        <v>7033</v>
      </c>
      <c r="X77" s="207">
        <f t="shared" si="37"/>
        <v>9234</v>
      </c>
      <c r="Y77" s="180" t="str">
        <f t="shared" si="38"/>
        <v>SUCCESS</v>
      </c>
      <c r="Z77" s="180" t="str">
        <f t="shared" si="39"/>
        <v>ERROR</v>
      </c>
      <c r="AA77" s="185">
        <f t="shared" si="40"/>
        <v>145.11594854162954</v>
      </c>
    </row>
    <row r="78" spans="1:27" ht="12.75" thickTop="1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168</v>
      </c>
      <c r="B78" s="113">
        <f>B77+A78</f>
        <v>27940</v>
      </c>
      <c r="C78" s="118">
        <f t="shared" si="54"/>
        <v>193.76800000000014</v>
      </c>
      <c r="D78" s="181" t="s">
        <v>4</v>
      </c>
      <c r="E78" s="182">
        <f>IF(H77="AFIII",VLOOKUP($D78,Sheet1!$A$34:$K$48,5,FALSE),IF(H77="UBIII",VLOOKUP($D78,Sheet1!$A$34:$K$48,8,FALSE),VLOOKUP($D78,Sheet1!$A$34:$K$48,2,FALSE)))</f>
        <v>1.67</v>
      </c>
      <c r="F78" s="182">
        <f>ROUNDDOWN((IF(H77="AFIII",VLOOKUP($D78,Sheet1!$A$34:$K$48,5,FALSE),IF(H77="UBIII",VLOOKUP($D78,Sheet1!$A$34:$K$48,8,FALSE),VLOOKUP($D78,Sheet1!$A$34:$K$48,2,FALSE))))*0.85,2)</f>
        <v>1.41</v>
      </c>
      <c r="G78" s="182">
        <f>IF(M77="迅速",IF(S77="黒魔紋",$F$1,$E$1),IF(S77="黒魔紋",IF(F78&lt;$F$1,$F$1,F78),IF(E78&lt;$E$1,$E$1,E78)))</f>
        <v>2.39</v>
      </c>
      <c r="H78" s="183" t="s">
        <v>84</v>
      </c>
      <c r="I78" s="182">
        <v>10</v>
      </c>
      <c r="L78" s="182">
        <f t="shared" si="53"/>
        <v>6.9719999999999978</v>
      </c>
      <c r="O78" s="182">
        <f t="shared" si="66"/>
        <v>-172.75800000000007</v>
      </c>
      <c r="Q78" s="182">
        <f>Q77-G78</f>
        <v>18.61</v>
      </c>
      <c r="V78" s="201">
        <f>IF(H77="AFIII",VLOOKUP(D78,Sheet1!$A$4:$H$18,5,FALSE),IF(H77="UBIII",VLOOKUP(D78,Sheet1!$A$4:$H$18,8,FALSE),IF(H77="",VLOOKUP(D78,Sheet1!$A$4:$H$18,2,FALSE),"0")))</f>
        <v>442</v>
      </c>
      <c r="W78" s="201">
        <f>IF(H77="UBIII",$X$2,0)</f>
        <v>7033</v>
      </c>
      <c r="X78" s="208">
        <f>IF(D78="フレア",IF(M78="コンバート",$X$1,0),IF(X77-V78+W78&gt;$X$3,$X$3-V78,X77-V78+W78))</f>
        <v>10950</v>
      </c>
      <c r="Y78" s="171" t="str">
        <f t="shared" si="38"/>
        <v>SUCCESS</v>
      </c>
      <c r="Z78" s="171" t="str">
        <f t="shared" si="39"/>
        <v>ERROR</v>
      </c>
      <c r="AA78" s="185">
        <f>B78/C78</f>
        <v>144.19305561289778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496</v>
      </c>
      <c r="B79" s="113">
        <f t="shared" ref="B79:B84" si="71">B78+A79</f>
        <v>28436</v>
      </c>
      <c r="C79" s="118">
        <f t="shared" si="54"/>
        <v>197.11400000000015</v>
      </c>
      <c r="D79" s="181" t="s">
        <v>128</v>
      </c>
      <c r="E79" s="182">
        <f>IF(H78="AFIII",VLOOKUP($D79,Sheet1!$A$34:$K$48,5,FALSE),IF(H78="UBIII",VLOOKUP($D79,Sheet1!$A$34:$K$48,8,FALSE),VLOOKUP($D79,Sheet1!$A$34:$K$48,2,FALSE)))</f>
        <v>3.3460000000000001</v>
      </c>
      <c r="F79" s="182">
        <f>ROUNDDOWN((IF(H78="AFIII",VLOOKUP($D79,Sheet1!$A$34:$K$48,5,FALSE),IF(H78="UBIII",VLOOKUP($D79,Sheet1!$A$34:$K$48,8,FALSE),VLOOKUP($D79,Sheet1!$A$34:$K$48,2,FALSE))))*0.85,2)</f>
        <v>2.84</v>
      </c>
      <c r="G79" s="182">
        <f t="shared" ref="G79:G84" si="72">IF(M78="迅速",IF(S78="黒魔紋",$F$1,$E$1),IF(S78="黒魔紋",IF(F79&lt;$F$1,$F$1,F79),IF(E79&lt;$E$1,$E$1,E79)))</f>
        <v>3.3460000000000001</v>
      </c>
      <c r="H79" s="183" t="s">
        <v>84</v>
      </c>
      <c r="I79" s="182">
        <v>10</v>
      </c>
      <c r="L79" s="182">
        <f t="shared" si="53"/>
        <v>3.6259999999999977</v>
      </c>
      <c r="O79" s="182">
        <f t="shared" si="66"/>
        <v>-176.10400000000007</v>
      </c>
      <c r="Q79" s="182">
        <f t="shared" ref="Q79:Q83" si="73">Q78-G79</f>
        <v>15.263999999999999</v>
      </c>
      <c r="V79" s="201">
        <f>IF(H78="AFIII",VLOOKUP(D79,Sheet1!$A$4:$H$18,5,FALSE),IF(H78="UBIII",VLOOKUP(D79,Sheet1!$A$4:$H$18,8,FALSE),IF(H78="",VLOOKUP(D79,Sheet1!$A$4:$H$18,2,FALSE),"0")))</f>
        <v>2120</v>
      </c>
      <c r="W79" s="201">
        <f t="shared" ref="W79:W84" si="74">IF(H78="UBIII",$X$2,0)</f>
        <v>0</v>
      </c>
      <c r="X79" s="208">
        <f t="shared" ref="X79:X84" si="75">IF(D79="フレア",IF(M79="コンバート",$X$1,0),IF(X78-V79+W79&gt;$X$3,$X$3-V79,X78-V79+W79))</f>
        <v>8830</v>
      </c>
      <c r="Y79" s="171" t="str">
        <f t="shared" si="38"/>
        <v>SUCCESS</v>
      </c>
      <c r="Z79" s="171" t="str">
        <f t="shared" si="39"/>
        <v>ERROR</v>
      </c>
      <c r="AA79" s="185">
        <f t="shared" ref="AA79:AA84" si="76">B79/C79</f>
        <v>144.26169627728106</v>
      </c>
    </row>
    <row r="80" spans="1:27">
      <c r="A80" s="112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496</v>
      </c>
      <c r="B80" s="113">
        <f t="shared" si="71"/>
        <v>28932</v>
      </c>
      <c r="C80" s="118">
        <f t="shared" si="54"/>
        <v>200.46000000000015</v>
      </c>
      <c r="D80" s="181" t="s">
        <v>128</v>
      </c>
      <c r="E80" s="182">
        <f>IF(H79="AFIII",VLOOKUP($D80,Sheet1!$A$34:$K$48,5,FALSE),IF(H79="UBIII",VLOOKUP($D80,Sheet1!$A$34:$K$48,8,FALSE),VLOOKUP($D80,Sheet1!$A$34:$K$48,2,FALSE)))</f>
        <v>3.3460000000000001</v>
      </c>
      <c r="F80" s="182">
        <f>ROUNDDOWN((IF(H79="AFIII",VLOOKUP($D80,Sheet1!$A$34:$K$48,5,FALSE),IF(H79="UBIII",VLOOKUP($D80,Sheet1!$A$34:$K$48,8,FALSE),VLOOKUP($D80,Sheet1!$A$34:$K$48,2,FALSE))))*0.85,2)</f>
        <v>2.84</v>
      </c>
      <c r="G80" s="182">
        <f t="shared" si="72"/>
        <v>3.3460000000000001</v>
      </c>
      <c r="H80" s="183" t="s">
        <v>84</v>
      </c>
      <c r="I80" s="182">
        <v>10</v>
      </c>
      <c r="L80" s="182">
        <f t="shared" si="53"/>
        <v>0.27999999999999758</v>
      </c>
      <c r="O80" s="182">
        <f t="shared" si="66"/>
        <v>-179.45000000000007</v>
      </c>
      <c r="Q80" s="182">
        <f t="shared" si="73"/>
        <v>11.917999999999999</v>
      </c>
      <c r="V80" s="201">
        <f>IF(H79="AFIII",VLOOKUP(D80,Sheet1!$A$4:$H$18,5,FALSE),IF(H79="UBIII",VLOOKUP(D80,Sheet1!$A$4:$H$18,8,FALSE),IF(H79="",VLOOKUP(D80,Sheet1!$A$4:$H$18,2,FALSE),"0")))</f>
        <v>2120</v>
      </c>
      <c r="W80" s="201">
        <f t="shared" si="74"/>
        <v>0</v>
      </c>
      <c r="X80" s="208">
        <f t="shared" si="75"/>
        <v>6710</v>
      </c>
      <c r="Y80" s="171" t="str">
        <f t="shared" si="38"/>
        <v>SUCCESS</v>
      </c>
      <c r="Z80" s="171" t="str">
        <f t="shared" si="39"/>
        <v>ERROR</v>
      </c>
      <c r="AA80" s="185">
        <f t="shared" si="76"/>
        <v>144.32804549536056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496</v>
      </c>
      <c r="B81" s="113">
        <f t="shared" si="71"/>
        <v>29428</v>
      </c>
      <c r="C81" s="118">
        <f t="shared" si="54"/>
        <v>203.80600000000015</v>
      </c>
      <c r="D81" s="181" t="s">
        <v>128</v>
      </c>
      <c r="E81" s="182">
        <f>IF(H80="AFIII",VLOOKUP($D81,Sheet1!$A$34:$K$48,5,FALSE),IF(H80="UBIII",VLOOKUP($D81,Sheet1!$A$34:$K$48,8,FALSE),VLOOKUP($D81,Sheet1!$A$34:$K$48,2,FALSE)))</f>
        <v>3.3460000000000001</v>
      </c>
      <c r="F81" s="182">
        <f>ROUNDDOWN((IF(H80="AFIII",VLOOKUP($D81,Sheet1!$A$34:$K$48,5,FALSE),IF(H80="UBIII",VLOOKUP($D81,Sheet1!$A$34:$K$48,8,FALSE),VLOOKUP($D81,Sheet1!$A$34:$K$48,2,FALSE))))*0.85,2)</f>
        <v>2.84</v>
      </c>
      <c r="G81" s="182">
        <f t="shared" si="72"/>
        <v>3.3460000000000001</v>
      </c>
      <c r="H81" s="183" t="s">
        <v>84</v>
      </c>
      <c r="I81" s="182">
        <v>10</v>
      </c>
      <c r="L81" s="182">
        <f t="shared" si="53"/>
        <v>-3.0660000000000025</v>
      </c>
      <c r="Q81" s="182">
        <f t="shared" si="73"/>
        <v>8.5719999999999992</v>
      </c>
      <c r="V81" s="201">
        <f>IF(H80="AFIII",VLOOKUP(D81,Sheet1!$A$4:$H$18,5,FALSE),IF(H80="UBIII",VLOOKUP(D81,Sheet1!$A$4:$H$18,8,FALSE),IF(H80="",VLOOKUP(D81,Sheet1!$A$4:$H$18,2,FALSE),"0")))</f>
        <v>2120</v>
      </c>
      <c r="W81" s="201">
        <f t="shared" si="74"/>
        <v>0</v>
      </c>
      <c r="X81" s="208">
        <f t="shared" si="75"/>
        <v>4590</v>
      </c>
      <c r="Y81" s="171" t="str">
        <f t="shared" si="38"/>
        <v>SUCCESS</v>
      </c>
      <c r="Z81" s="171" t="str">
        <f t="shared" si="39"/>
        <v>ERROR</v>
      </c>
      <c r="AA81" s="185">
        <f t="shared" si="76"/>
        <v>144.39221612710116</v>
      </c>
    </row>
    <row r="82" spans="1:27">
      <c r="A82" s="112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496</v>
      </c>
      <c r="B82" s="113">
        <f t="shared" si="71"/>
        <v>29924</v>
      </c>
      <c r="C82" s="118">
        <f t="shared" si="54"/>
        <v>207.15200000000016</v>
      </c>
      <c r="D82" s="181" t="s">
        <v>128</v>
      </c>
      <c r="E82" s="182">
        <f>IF(H81="AFIII",VLOOKUP($D82,Sheet1!$A$34:$K$48,5,FALSE),IF(H81="UBIII",VLOOKUP($D82,Sheet1!$A$34:$K$48,8,FALSE),VLOOKUP($D82,Sheet1!$A$34:$K$48,2,FALSE)))</f>
        <v>3.3460000000000001</v>
      </c>
      <c r="F82" s="182">
        <f>ROUNDDOWN((IF(H81="AFIII",VLOOKUP($D82,Sheet1!$A$34:$K$48,5,FALSE),IF(H81="UBIII",VLOOKUP($D82,Sheet1!$A$34:$K$48,8,FALSE),VLOOKUP($D82,Sheet1!$A$34:$K$48,2,FALSE))))*0.85,2)</f>
        <v>2.84</v>
      </c>
      <c r="G82" s="182">
        <f t="shared" si="72"/>
        <v>3.3460000000000001</v>
      </c>
      <c r="H82" s="183" t="s">
        <v>84</v>
      </c>
      <c r="I82" s="182">
        <v>10</v>
      </c>
      <c r="L82" s="182">
        <f t="shared" si="53"/>
        <v>-6.4120000000000026</v>
      </c>
      <c r="Q82" s="182">
        <f t="shared" si="73"/>
        <v>5.2259999999999991</v>
      </c>
      <c r="V82" s="201">
        <f>IF(H81="AFIII",VLOOKUP(D82,Sheet1!$A$4:$H$18,5,FALSE),IF(H81="UBIII",VLOOKUP(D82,Sheet1!$A$4:$H$18,8,FALSE),IF(H81="",VLOOKUP(D82,Sheet1!$A$4:$H$18,2,FALSE),"0")))</f>
        <v>2120</v>
      </c>
      <c r="W82" s="201">
        <f t="shared" si="74"/>
        <v>0</v>
      </c>
      <c r="X82" s="208">
        <f t="shared" si="75"/>
        <v>2470</v>
      </c>
      <c r="Y82" s="171" t="str">
        <f t="shared" si="38"/>
        <v>SUCCESS</v>
      </c>
      <c r="Z82" s="171" t="str">
        <f t="shared" si="39"/>
        <v>ERROR</v>
      </c>
      <c r="AA82" s="185">
        <f t="shared" si="76"/>
        <v>144.45431374063477</v>
      </c>
    </row>
    <row r="83" spans="1:27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168</v>
      </c>
      <c r="B83" s="113">
        <f t="shared" si="71"/>
        <v>30092</v>
      </c>
      <c r="C83" s="118">
        <f t="shared" si="54"/>
        <v>209.54200000000014</v>
      </c>
      <c r="D83" s="181" t="s">
        <v>12</v>
      </c>
      <c r="E83" s="182">
        <f>IF(H82="AFIII",VLOOKUP($D83,Sheet1!$A$34:$K$48,5,FALSE),IF(H82="UBIII",VLOOKUP($D83,Sheet1!$A$34:$K$48,8,FALSE),VLOOKUP($D83,Sheet1!$A$34:$K$48,2,FALSE)))</f>
        <v>1.67</v>
      </c>
      <c r="F83" s="182">
        <f>ROUNDDOWN((IF(H82="AFIII",VLOOKUP($D83,Sheet1!$A$34:$K$48,5,FALSE),IF(H82="UBIII",VLOOKUP($D83,Sheet1!$A$34:$K$48,8,FALSE),VLOOKUP($D83,Sheet1!$A$34:$K$48,2,FALSE))))*0.85,2)</f>
        <v>1.41</v>
      </c>
      <c r="G83" s="182">
        <f t="shared" si="72"/>
        <v>2.39</v>
      </c>
      <c r="H83" s="183" t="s">
        <v>122</v>
      </c>
      <c r="I83" s="182">
        <v>10</v>
      </c>
      <c r="Q83" s="182">
        <f t="shared" si="73"/>
        <v>2.835999999999999</v>
      </c>
      <c r="V83" s="201">
        <f>IF(H82="AFIII",VLOOKUP(D83,Sheet1!$A$4:$H$18,5,FALSE),IF(H82="UBIII",VLOOKUP(D83,Sheet1!$A$4:$H$18,8,FALSE),IF(H82="",VLOOKUP(D83,Sheet1!$A$4:$H$18,2,FALSE),"0")))</f>
        <v>265</v>
      </c>
      <c r="W83" s="201">
        <f t="shared" si="74"/>
        <v>0</v>
      </c>
      <c r="X83" s="208">
        <f t="shared" si="75"/>
        <v>2205</v>
      </c>
      <c r="Y83" s="171" t="str">
        <f t="shared" si="38"/>
        <v>SUCCESS</v>
      </c>
      <c r="Z83" s="171" t="str">
        <f t="shared" si="39"/>
        <v>ERROR</v>
      </c>
      <c r="AA83" s="185">
        <f t="shared" si="76"/>
        <v>143.60844126714443</v>
      </c>
    </row>
    <row r="84" spans="1:27">
      <c r="A84" s="122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295</v>
      </c>
      <c r="B84" s="123">
        <f t="shared" si="71"/>
        <v>30387</v>
      </c>
      <c r="C84" s="124">
        <f t="shared" si="54"/>
        <v>212.40200000000016</v>
      </c>
      <c r="D84" s="186" t="s">
        <v>19</v>
      </c>
      <c r="E84" s="187">
        <f>IF(H83="AFIII",VLOOKUP($D84,Sheet1!$A$34:$K$48,5,FALSE),IF(H83="UBIII",VLOOKUP($D84,Sheet1!$A$34:$K$48,8,FALSE),VLOOKUP($D84,Sheet1!$A$34:$K$48,2,FALSE)))</f>
        <v>2.86</v>
      </c>
      <c r="F84" s="187">
        <f>ROUNDDOWN((IF(H83="AFIII",VLOOKUP($D84,Sheet1!$A$34:$K$48,5,FALSE),IF(H83="UBIII",VLOOKUP($D84,Sheet1!$A$34:$K$48,8,FALSE),VLOOKUP($D84,Sheet1!$A$34:$K$48,2,FALSE))))*0.85,2)</f>
        <v>2.4300000000000002</v>
      </c>
      <c r="G84" s="187">
        <f t="shared" si="72"/>
        <v>2.86</v>
      </c>
      <c r="H84" s="188" t="s">
        <v>122</v>
      </c>
      <c r="I84" s="187">
        <v>10</v>
      </c>
      <c r="J84" s="188"/>
      <c r="K84" s="187"/>
      <c r="L84" s="187"/>
      <c r="M84" s="188"/>
      <c r="N84" s="187"/>
      <c r="O84" s="187"/>
      <c r="P84" s="188" t="s">
        <v>17</v>
      </c>
      <c r="Q84" s="187">
        <v>21</v>
      </c>
      <c r="R84" s="187"/>
      <c r="S84" s="188"/>
      <c r="T84" s="187"/>
      <c r="U84" s="189"/>
      <c r="V84" s="209">
        <f>IF(H83="AFIII",VLOOKUP(D84,Sheet1!$A$4:$H$18,5,FALSE),IF(H83="UBIII",VLOOKUP(D84,Sheet1!$A$4:$H$18,8,FALSE),IF(H83="",VLOOKUP(D84,Sheet1!$A$4:$H$18,2,FALSE),"0")))</f>
        <v>1060</v>
      </c>
      <c r="W84" s="209">
        <f t="shared" si="74"/>
        <v>7033</v>
      </c>
      <c r="X84" s="210">
        <f t="shared" si="75"/>
        <v>8178</v>
      </c>
      <c r="Y84" s="190" t="str">
        <f t="shared" si="38"/>
        <v>SUCCESS</v>
      </c>
      <c r="Z84" s="190" t="str">
        <f t="shared" si="39"/>
        <v>ERROR</v>
      </c>
      <c r="AA84" s="185">
        <f t="shared" si="76"/>
        <v>143.06362463630276</v>
      </c>
    </row>
    <row r="85" spans="1:27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196</v>
      </c>
      <c r="B85" s="113">
        <f t="shared" ref="B85:B145" si="77">B84+A85</f>
        <v>30583</v>
      </c>
      <c r="C85" s="118">
        <f t="shared" ref="C85:C90" si="78">C84+G85</f>
        <v>214.79200000000014</v>
      </c>
      <c r="D85" s="181" t="s">
        <v>6</v>
      </c>
      <c r="E85" s="182">
        <f>IF(H84="AFIII",VLOOKUP($D85,Sheet1!$A$34:$K$48,5,FALSE),IF(H84="UBIII",VLOOKUP($D85,Sheet1!$A$34:$K$48,8,FALSE),VLOOKUP($D85,Sheet1!$A$34:$K$48,2,FALSE)))</f>
        <v>1.43</v>
      </c>
      <c r="F85" s="182">
        <f>ROUNDDOWN((IF(H84="AFIII",VLOOKUP($D85,Sheet1!$A$34:$K$48,5,FALSE),IF(H84="UBIII",VLOOKUP($D85,Sheet1!$A$34:$K$48,8,FALSE),VLOOKUP($D85,Sheet1!$A$34:$K$48,2,FALSE))))*0.85,2)</f>
        <v>1.21</v>
      </c>
      <c r="G85" s="182">
        <f>IF(M84="迅速",IF(S84="黒魔紋",$F$1,$E$1),IF(S84="黒魔紋",IF(F85&lt;$F$1,$F$1,F85),IF(E85&lt;$E$1,$E$1,E85)))</f>
        <v>2.39</v>
      </c>
      <c r="H85" s="183" t="s">
        <v>84</v>
      </c>
      <c r="I85" s="182">
        <f>I84-G85</f>
        <v>7.6099999999999994</v>
      </c>
      <c r="K85" s="182">
        <f>K84-G85</f>
        <v>-2.39</v>
      </c>
      <c r="L85" s="182">
        <f>L84-G85</f>
        <v>-2.39</v>
      </c>
      <c r="N85" s="182">
        <f>N84-G85</f>
        <v>-2.39</v>
      </c>
      <c r="Q85" s="182">
        <f t="shared" ref="Q85:Q92" si="79">Q84-G85</f>
        <v>18.61</v>
      </c>
      <c r="V85" s="201">
        <f>IF(H84="AFIII",VLOOKUP(D85,Sheet1!$A$4:$H$18,5,FALSE),IF(H84="UBIII",VLOOKUP(D85,Sheet1!$A$4:$H$18,8,FALSE),IF(H84="",VLOOKUP(D85,Sheet1!$A$4:$H$18,2,FALSE),"0")))</f>
        <v>221</v>
      </c>
      <c r="W85" s="201">
        <f t="shared" ref="W85:W145" si="80">IF(H84="UBIII",$X$2,0)</f>
        <v>7033</v>
      </c>
      <c r="X85" s="208">
        <f t="shared" ref="X85:X145" si="81">IF(D85="フレア",IF(M85="コンバート",$X$1,0),IF(X84-V85+W85&gt;$X$3,$X$3-V85,X84-V85+W85))</f>
        <v>11171</v>
      </c>
      <c r="Y85" s="171" t="str">
        <f t="shared" ref="Y85:Y145" si="82">IF(X84-V85&lt;0,"ERROR","SUCCESS")</f>
        <v>SUCCESS</v>
      </c>
      <c r="Z85" s="171" t="str">
        <f t="shared" ref="Z85:Z145" si="83">IF(K84-G85&lt;0,"ERROR","SUCCESS")</f>
        <v>ERROR</v>
      </c>
      <c r="AA85" s="185">
        <f t="shared" ref="AA85:AA145" si="84">B85/C85</f>
        <v>142.38426012141969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504</v>
      </c>
      <c r="B86" s="113">
        <f t="shared" si="77"/>
        <v>31087</v>
      </c>
      <c r="C86" s="118">
        <f t="shared" si="78"/>
        <v>217.65200000000016</v>
      </c>
      <c r="D86" s="181" t="s">
        <v>6</v>
      </c>
      <c r="E86" s="182">
        <f>IF(H85="AFIII",VLOOKUP($D86,Sheet1!$A$34:$K$48,5,FALSE),IF(H85="UBIII",VLOOKUP($D86,Sheet1!$A$34:$K$48,8,FALSE),VLOOKUP($D86,Sheet1!$A$34:$K$48,2,FALSE)))</f>
        <v>2.86</v>
      </c>
      <c r="F86" s="182">
        <f>ROUNDDOWN((IF(H85="AFIII",VLOOKUP($D86,Sheet1!$A$34:$K$48,5,FALSE),IF(H85="UBIII",VLOOKUP($D86,Sheet1!$A$34:$K$48,8,FALSE),VLOOKUP($D86,Sheet1!$A$34:$K$48,2,FALSE))))*0.85,2)</f>
        <v>2.4300000000000002</v>
      </c>
      <c r="G86" s="182">
        <f t="shared" ref="G86:G132" si="85">IF(M85="迅速",IF(S85="黒魔紋",$F$1,$E$1),IF(S85="黒魔紋",IF(F86&lt;$F$1,$F$1,F86),IF(E86&lt;$E$1,$E$1,E86)))</f>
        <v>2.86</v>
      </c>
      <c r="H86" s="183" t="s">
        <v>84</v>
      </c>
      <c r="I86" s="182">
        <f t="shared" ref="I86" si="86">I85-G86</f>
        <v>4.75</v>
      </c>
      <c r="K86" s="182">
        <f t="shared" ref="K86:K87" si="87">K85-G86</f>
        <v>-5.25</v>
      </c>
      <c r="L86" s="182">
        <f t="shared" ref="L86:L87" si="88">L85-G86</f>
        <v>-5.25</v>
      </c>
      <c r="N86" s="182">
        <f>N85-G86</f>
        <v>-5.25</v>
      </c>
      <c r="P86" s="183" t="s">
        <v>219</v>
      </c>
      <c r="Q86" s="182">
        <f t="shared" si="79"/>
        <v>15.75</v>
      </c>
      <c r="R86" s="182">
        <v>60</v>
      </c>
      <c r="V86" s="201">
        <f>IF(H85="AFIII",VLOOKUP(D86,Sheet1!$A$4:$H$18,5,FALSE),IF(H85="UBIII",VLOOKUP(D86,Sheet1!$A$4:$H$18,8,FALSE),IF(H85="",VLOOKUP(D86,Sheet1!$A$4:$H$18,2,FALSE),"0")))</f>
        <v>1768</v>
      </c>
      <c r="W86" s="201">
        <f t="shared" si="80"/>
        <v>0</v>
      </c>
      <c r="X86" s="208">
        <f t="shared" si="81"/>
        <v>9403</v>
      </c>
      <c r="Y86" s="171" t="str">
        <f t="shared" si="82"/>
        <v>SUCCESS</v>
      </c>
      <c r="Z86" s="171" t="str">
        <f t="shared" si="83"/>
        <v>ERROR</v>
      </c>
      <c r="AA86" s="185">
        <f t="shared" si="84"/>
        <v>142.82891955966394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324</v>
      </c>
      <c r="B87" s="113">
        <f t="shared" si="77"/>
        <v>31411</v>
      </c>
      <c r="C87" s="118">
        <f t="shared" si="78"/>
        <v>220.04200000000014</v>
      </c>
      <c r="D87" s="181" t="s">
        <v>1</v>
      </c>
      <c r="E87" s="182">
        <f>IF(H86="AFIII",VLOOKUP($D87,Sheet1!$A$34:$K$48,5,FALSE),IF(H86="UBIII",VLOOKUP($D87,Sheet1!$A$34:$K$48,8,FALSE),VLOOKUP($D87,Sheet1!$A$34:$K$48,2,FALSE)))</f>
        <v>2.39</v>
      </c>
      <c r="F87" s="182">
        <f>ROUNDDOWN((IF(H86="AFIII",VLOOKUP($D87,Sheet1!$A$34:$K$48,5,FALSE),IF(H86="UBIII",VLOOKUP($D87,Sheet1!$A$34:$K$48,8,FALSE),VLOOKUP($D87,Sheet1!$A$34:$K$48,2,FALSE))))*0.85,2)</f>
        <v>2.0299999999999998</v>
      </c>
      <c r="G87" s="182">
        <f t="shared" si="85"/>
        <v>2.39</v>
      </c>
      <c r="H87" s="183" t="s">
        <v>84</v>
      </c>
      <c r="I87" s="182">
        <v>10</v>
      </c>
      <c r="K87" s="182">
        <f t="shared" si="87"/>
        <v>-7.6400000000000006</v>
      </c>
      <c r="L87" s="182">
        <f t="shared" si="88"/>
        <v>-7.6400000000000006</v>
      </c>
      <c r="N87" s="182">
        <f t="shared" ref="N87" si="89">N86-G87</f>
        <v>-7.6400000000000006</v>
      </c>
      <c r="Q87" s="182">
        <f t="shared" si="79"/>
        <v>13.36</v>
      </c>
      <c r="R87" s="182">
        <f t="shared" ref="R87:R90" si="90">R86-G87</f>
        <v>57.61</v>
      </c>
      <c r="V87" s="201">
        <f>IF(H86="AFIII",VLOOKUP(D87,Sheet1!$A$4:$H$18,5,FALSE),IF(H86="UBIII",VLOOKUP(D87,Sheet1!$A$4:$H$18,8,FALSE),IF(H86="",VLOOKUP(D87,Sheet1!$A$4:$H$18,2,FALSE),"0")))</f>
        <v>2120</v>
      </c>
      <c r="W87" s="201">
        <f t="shared" si="80"/>
        <v>0</v>
      </c>
      <c r="X87" s="208">
        <f t="shared" si="81"/>
        <v>7283</v>
      </c>
      <c r="Y87" s="171" t="str">
        <f t="shared" si="82"/>
        <v>SUCCESS</v>
      </c>
      <c r="Z87" s="171" t="str">
        <f t="shared" si="83"/>
        <v>ERROR</v>
      </c>
      <c r="AA87" s="185">
        <f t="shared" si="84"/>
        <v>142.75002045064116</v>
      </c>
    </row>
    <row r="88" spans="1:27">
      <c r="A88" s="112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432</v>
      </c>
      <c r="B88" s="113">
        <f t="shared" si="77"/>
        <v>31843</v>
      </c>
      <c r="C88" s="118">
        <f t="shared" si="78"/>
        <v>222.43200000000013</v>
      </c>
      <c r="D88" s="181" t="s">
        <v>129</v>
      </c>
      <c r="E88" s="182">
        <f>IF(H87="AFIII",VLOOKUP($D88,Sheet1!$A$34:$K$48,5,FALSE),IF(H87="UBIII",VLOOKUP($D88,Sheet1!$A$34:$K$48,8,FALSE),VLOOKUP($D88,Sheet1!$A$34:$K$48,2,FALSE)))</f>
        <v>2.39</v>
      </c>
      <c r="F88" s="182">
        <f>ROUNDDOWN((IF(H87="AFIII",VLOOKUP($D88,Sheet1!$A$34:$K$48,5,FALSE),IF(H87="UBIII",VLOOKUP($D88,Sheet1!$A$34:$K$48,8,FALSE),VLOOKUP($D88,Sheet1!$A$34:$K$48,2,FALSE))))*0.85,2)</f>
        <v>2.0299999999999998</v>
      </c>
      <c r="G88" s="182">
        <f t="shared" si="85"/>
        <v>2.39</v>
      </c>
      <c r="H88" s="183" t="s">
        <v>84</v>
      </c>
      <c r="I88" s="182">
        <f>I87-G88</f>
        <v>7.6099999999999994</v>
      </c>
      <c r="K88" s="182">
        <f>K87-G88</f>
        <v>-10.030000000000001</v>
      </c>
      <c r="L88" s="182">
        <f>L87-G88</f>
        <v>-10.030000000000001</v>
      </c>
      <c r="N88" s="182">
        <f>N87-G88</f>
        <v>-10.030000000000001</v>
      </c>
      <c r="Q88" s="182">
        <f t="shared" si="79"/>
        <v>10.969999999999999</v>
      </c>
      <c r="R88" s="182">
        <f t="shared" si="90"/>
        <v>55.22</v>
      </c>
      <c r="V88" s="201">
        <f>IF(H87="AFIII",VLOOKUP(D88,Sheet1!$A$4:$H$18,5,FALSE),IF(H87="UBIII",VLOOKUP(D88,Sheet1!$A$4:$H$18,8,FALSE),IF(H87="",VLOOKUP(D88,Sheet1!$A$4:$H$18,2,FALSE),"0")))</f>
        <v>0</v>
      </c>
      <c r="W88" s="201">
        <f t="shared" si="80"/>
        <v>0</v>
      </c>
      <c r="X88" s="208">
        <f t="shared" si="81"/>
        <v>7283</v>
      </c>
      <c r="Y88" s="171" t="str">
        <f t="shared" si="82"/>
        <v>SUCCESS</v>
      </c>
      <c r="Z88" s="171" t="str">
        <f t="shared" si="83"/>
        <v>ERROR</v>
      </c>
      <c r="AA88" s="185">
        <f t="shared" si="84"/>
        <v>143.15835850956688</v>
      </c>
    </row>
    <row r="89" spans="1:27">
      <c r="A89" s="11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504</v>
      </c>
      <c r="B89" s="113">
        <f t="shared" si="77"/>
        <v>32347</v>
      </c>
      <c r="C89" s="118">
        <f t="shared" si="78"/>
        <v>225.29200000000014</v>
      </c>
      <c r="D89" s="181" t="s">
        <v>6</v>
      </c>
      <c r="E89" s="182">
        <f>IF(H88="AFIII",VLOOKUP($D89,Sheet1!$A$34:$K$48,5,FALSE),IF(H88="UBIII",VLOOKUP($D89,Sheet1!$A$34:$K$48,8,FALSE),VLOOKUP($D89,Sheet1!$A$34:$K$48,2,FALSE)))</f>
        <v>2.86</v>
      </c>
      <c r="F89" s="182">
        <f>ROUNDDOWN((IF(H88="AFIII",VLOOKUP($D89,Sheet1!$A$34:$K$48,5,FALSE),IF(H88="UBIII",VLOOKUP($D89,Sheet1!$A$34:$K$48,8,FALSE),VLOOKUP($D89,Sheet1!$A$34:$K$48,2,FALSE))))*0.85,2)</f>
        <v>2.4300000000000002</v>
      </c>
      <c r="G89" s="182">
        <f t="shared" si="85"/>
        <v>2.86</v>
      </c>
      <c r="H89" s="183" t="s">
        <v>84</v>
      </c>
      <c r="I89" s="182">
        <f>I88-G89</f>
        <v>4.75</v>
      </c>
      <c r="K89" s="182">
        <f t="shared" ref="K89:K93" si="91">K88-G89</f>
        <v>-12.89</v>
      </c>
      <c r="L89" s="182">
        <f t="shared" ref="L89:L119" si="92">L88-G89</f>
        <v>-12.89</v>
      </c>
      <c r="N89" s="182">
        <f t="shared" ref="N89:N93" si="93">N88-G89</f>
        <v>-12.89</v>
      </c>
      <c r="Q89" s="182">
        <f t="shared" si="79"/>
        <v>8.11</v>
      </c>
      <c r="R89" s="182">
        <f t="shared" si="90"/>
        <v>52.36</v>
      </c>
      <c r="V89" s="201">
        <f>IF(H88="AFIII",VLOOKUP(D89,Sheet1!$A$4:$H$18,5,FALSE),IF(H88="UBIII",VLOOKUP(D89,Sheet1!$A$4:$H$18,8,FALSE),IF(H88="",VLOOKUP(D89,Sheet1!$A$4:$H$18,2,FALSE),"0")))</f>
        <v>1768</v>
      </c>
      <c r="W89" s="201">
        <f t="shared" si="80"/>
        <v>0</v>
      </c>
      <c r="X89" s="208">
        <f t="shared" si="81"/>
        <v>5515</v>
      </c>
      <c r="Y89" s="171" t="str">
        <f t="shared" si="82"/>
        <v>SUCCESS</v>
      </c>
      <c r="Z89" s="171" t="str">
        <f t="shared" si="83"/>
        <v>ERROR</v>
      </c>
      <c r="AA89" s="185">
        <f t="shared" si="84"/>
        <v>143.57811196136561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504</v>
      </c>
      <c r="B90" s="113">
        <f t="shared" si="77"/>
        <v>32851</v>
      </c>
      <c r="C90" s="118">
        <f t="shared" si="78"/>
        <v>228.15200000000016</v>
      </c>
      <c r="D90" s="181" t="s">
        <v>223</v>
      </c>
      <c r="E90" s="182">
        <f>IF(H89="AFIII",VLOOKUP($D90,Sheet1!$A$34:$K$48,5,FALSE),IF(H89="UBIII",VLOOKUP($D90,Sheet1!$A$34:$K$48,8,FALSE),VLOOKUP($D90,Sheet1!$A$34:$K$48,2,FALSE)))</f>
        <v>2.86</v>
      </c>
      <c r="F90" s="182">
        <f>ROUNDDOWN((IF(H89="AFIII",VLOOKUP($D90,Sheet1!$A$34:$K$48,5,FALSE),IF(H89="UBIII",VLOOKUP($D90,Sheet1!$A$34:$K$48,8,FALSE),VLOOKUP($D90,Sheet1!$A$34:$K$48,2,FALSE))))*0.85,2)</f>
        <v>2.4300000000000002</v>
      </c>
      <c r="G90" s="182">
        <f t="shared" si="85"/>
        <v>2.86</v>
      </c>
      <c r="H90" s="183" t="s">
        <v>84</v>
      </c>
      <c r="I90" s="182">
        <v>10</v>
      </c>
      <c r="K90" s="182">
        <f t="shared" si="91"/>
        <v>-15.75</v>
      </c>
      <c r="L90" s="182">
        <f t="shared" si="92"/>
        <v>-15.75</v>
      </c>
      <c r="M90" s="183" t="s">
        <v>218</v>
      </c>
      <c r="N90" s="182">
        <f t="shared" si="93"/>
        <v>-15.75</v>
      </c>
      <c r="O90" s="182">
        <v>60</v>
      </c>
      <c r="Q90" s="182">
        <f t="shared" si="79"/>
        <v>5.25</v>
      </c>
      <c r="R90" s="182">
        <f t="shared" si="90"/>
        <v>49.5</v>
      </c>
      <c r="V90" s="201">
        <f>IF(H89="AFIII",VLOOKUP(D90,Sheet1!$A$4:$H$18,5,FALSE),IF(H89="UBIII",VLOOKUP(D90,Sheet1!$A$4:$H$18,8,FALSE),IF(H89="",VLOOKUP(D90,Sheet1!$A$4:$H$18,2,FALSE),"0")))</f>
        <v>1768</v>
      </c>
      <c r="W90" s="201">
        <f t="shared" si="80"/>
        <v>0</v>
      </c>
      <c r="X90" s="208">
        <f t="shared" si="81"/>
        <v>3747</v>
      </c>
      <c r="Y90" s="171" t="str">
        <f t="shared" si="82"/>
        <v>SUCCESS</v>
      </c>
      <c r="Z90" s="171" t="str">
        <f t="shared" si="83"/>
        <v>ERROR</v>
      </c>
      <c r="AA90" s="185">
        <f t="shared" si="84"/>
        <v>143.98734177215181</v>
      </c>
    </row>
    <row r="91" spans="1:27">
      <c r="A91" s="11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468</v>
      </c>
      <c r="B91" s="113">
        <f t="shared" si="77"/>
        <v>33319</v>
      </c>
      <c r="C91" s="118">
        <f>C90+G91</f>
        <v>230.54200000000014</v>
      </c>
      <c r="D91" s="181" t="s">
        <v>10</v>
      </c>
      <c r="E91" s="182">
        <f>IF(H90="AFIII",VLOOKUP($D91,Sheet1!$A$34:$K$48,5,FALSE),IF(H90="UBIII",VLOOKUP($D91,Sheet1!$A$34:$K$48,8,FALSE),VLOOKUP($D91,Sheet1!$A$34:$K$48,2,FALSE)))</f>
        <v>3.82</v>
      </c>
      <c r="F91" s="182">
        <f>ROUNDDOWN((IF(H90="AFIII",VLOOKUP($D91,Sheet1!$A$34:$K$48,5,FALSE),IF(H90="UBIII",VLOOKUP($D91,Sheet1!$A$34:$K$48,8,FALSE),VLOOKUP($D91,Sheet1!$A$34:$K$48,2,FALSE))))*0.85,2)</f>
        <v>3.24</v>
      </c>
      <c r="G91" s="182">
        <f t="shared" si="85"/>
        <v>2.39</v>
      </c>
      <c r="H91" s="183" t="s">
        <v>84</v>
      </c>
      <c r="I91" s="182">
        <v>10</v>
      </c>
      <c r="K91" s="182">
        <f t="shared" si="91"/>
        <v>-18.14</v>
      </c>
      <c r="L91" s="182">
        <f t="shared" si="92"/>
        <v>-18.14</v>
      </c>
      <c r="M91" s="183" t="s">
        <v>224</v>
      </c>
      <c r="N91" s="182">
        <f t="shared" si="93"/>
        <v>-18.14</v>
      </c>
      <c r="O91" s="182">
        <v>180</v>
      </c>
      <c r="Q91" s="182">
        <f t="shared" si="79"/>
        <v>2.86</v>
      </c>
      <c r="R91" s="182">
        <f>R90-G91</f>
        <v>47.11</v>
      </c>
      <c r="V91" s="201">
        <f>IF(H90="AFIII",VLOOKUP(D91,Sheet1!$A$4:$H$18,5,FALSE),IF(H90="UBIII",VLOOKUP(D91,Sheet1!$A$4:$H$18,8,FALSE),IF(H90="",VLOOKUP(D91,Sheet1!$A$4:$H$18,2,FALSE),"0")))</f>
        <v>884</v>
      </c>
      <c r="W91" s="201">
        <f t="shared" si="80"/>
        <v>0</v>
      </c>
      <c r="X91" s="208">
        <f t="shared" si="81"/>
        <v>3417</v>
      </c>
      <c r="Y91" s="171" t="str">
        <f t="shared" si="82"/>
        <v>SUCCESS</v>
      </c>
      <c r="Z91" s="171" t="str">
        <f t="shared" si="83"/>
        <v>ERROR</v>
      </c>
      <c r="AA91" s="185">
        <f t="shared" si="84"/>
        <v>144.5246419307544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504</v>
      </c>
      <c r="B92" s="113">
        <f t="shared" si="77"/>
        <v>33823</v>
      </c>
      <c r="C92" s="118">
        <f t="shared" ref="C92:C118" si="94">C91+G92</f>
        <v>233.40200000000016</v>
      </c>
      <c r="D92" s="181" t="s">
        <v>223</v>
      </c>
      <c r="E92" s="182">
        <f>IF(H91="AFIII",VLOOKUP($D92,Sheet1!$A$34:$K$48,5,FALSE),IF(H91="UBIII",VLOOKUP($D92,Sheet1!$A$34:$K$48,8,FALSE),VLOOKUP($D92,Sheet1!$A$34:$K$48,2,FALSE)))</f>
        <v>2.86</v>
      </c>
      <c r="F92" s="182">
        <f>ROUNDDOWN((IF(H91="AFIII",VLOOKUP($D92,Sheet1!$A$34:$K$48,5,FALSE),IF(H91="UBIII",VLOOKUP($D92,Sheet1!$A$34:$K$48,8,FALSE),VLOOKUP($D92,Sheet1!$A$34:$K$48,2,FALSE))))*0.85,2)</f>
        <v>2.4300000000000002</v>
      </c>
      <c r="G92" s="182">
        <f t="shared" si="85"/>
        <v>2.86</v>
      </c>
      <c r="H92" s="183" t="s">
        <v>84</v>
      </c>
      <c r="I92" s="182">
        <v>10</v>
      </c>
      <c r="K92" s="182">
        <f t="shared" si="91"/>
        <v>-21</v>
      </c>
      <c r="L92" s="182">
        <f t="shared" si="92"/>
        <v>-21</v>
      </c>
      <c r="M92" s="183" t="s">
        <v>140</v>
      </c>
      <c r="N92" s="182">
        <f t="shared" si="93"/>
        <v>-21</v>
      </c>
      <c r="Q92" s="182">
        <f t="shared" si="79"/>
        <v>0</v>
      </c>
      <c r="R92" s="182">
        <f t="shared" ref="R92:R105" si="95">R91-G92</f>
        <v>44.25</v>
      </c>
      <c r="V92" s="201">
        <f>IF(H91="AFIII",VLOOKUP(D92,Sheet1!$A$4:$H$18,5,FALSE),IF(H91="UBIII",VLOOKUP(D92,Sheet1!$A$4:$H$18,8,FALSE),IF(H91="",VLOOKUP(D92,Sheet1!$A$4:$H$18,2,FALSE),"0")))</f>
        <v>1768</v>
      </c>
      <c r="W92" s="201">
        <f t="shared" si="80"/>
        <v>0</v>
      </c>
      <c r="X92" s="208">
        <f t="shared" si="81"/>
        <v>1649</v>
      </c>
      <c r="Y92" s="171" t="str">
        <f t="shared" si="82"/>
        <v>SUCCESS</v>
      </c>
      <c r="Z92" s="171" t="str">
        <f t="shared" si="83"/>
        <v>ERROR</v>
      </c>
      <c r="AA92" s="185">
        <f t="shared" si="84"/>
        <v>144.91306843985902</v>
      </c>
    </row>
    <row r="93" spans="1:27">
      <c r="A93" s="112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168</v>
      </c>
      <c r="B93" s="113">
        <f t="shared" si="77"/>
        <v>33991</v>
      </c>
      <c r="C93" s="118">
        <f t="shared" si="94"/>
        <v>235.79200000000014</v>
      </c>
      <c r="D93" s="181" t="s">
        <v>12</v>
      </c>
      <c r="E93" s="182">
        <f>IF(H92="AFIII",VLOOKUP($D93,Sheet1!$A$34:$K$48,5,FALSE),IF(H92="UBIII",VLOOKUP($D93,Sheet1!$A$34:$K$48,8,FALSE),VLOOKUP($D93,Sheet1!$A$34:$K$48,2,FALSE)))</f>
        <v>1.67</v>
      </c>
      <c r="F93" s="182">
        <f>ROUNDDOWN((IF(H92="AFIII",VLOOKUP($D93,Sheet1!$A$34:$K$48,5,FALSE),IF(H92="UBIII",VLOOKUP($D93,Sheet1!$A$34:$K$48,8,FALSE),VLOOKUP($D93,Sheet1!$A$34:$K$48,2,FALSE))))*0.85,2)</f>
        <v>1.41</v>
      </c>
      <c r="G93" s="182">
        <f t="shared" si="85"/>
        <v>2.39</v>
      </c>
      <c r="H93" s="183" t="s">
        <v>122</v>
      </c>
      <c r="I93" s="182">
        <v>10</v>
      </c>
      <c r="K93" s="182">
        <f t="shared" si="91"/>
        <v>-23.39</v>
      </c>
      <c r="L93" s="182">
        <f t="shared" si="92"/>
        <v>-23.39</v>
      </c>
      <c r="N93" s="182">
        <f t="shared" si="93"/>
        <v>-23.39</v>
      </c>
      <c r="O93" s="182">
        <f>O90-G91-G93-G92</f>
        <v>52.36</v>
      </c>
      <c r="R93" s="182">
        <f t="shared" si="95"/>
        <v>41.86</v>
      </c>
      <c r="V93" s="201">
        <f>IF(H92="AFIII",VLOOKUP(D93,Sheet1!$A$4:$H$18,5,FALSE),IF(H92="UBIII",VLOOKUP(D93,Sheet1!$A$4:$H$18,8,FALSE),IF(H92="",VLOOKUP(D93,Sheet1!$A$4:$H$18,2,FALSE),"0")))</f>
        <v>265</v>
      </c>
      <c r="W93" s="201">
        <f t="shared" si="80"/>
        <v>0</v>
      </c>
      <c r="X93" s="208">
        <f t="shared" si="81"/>
        <v>1384</v>
      </c>
      <c r="Y93" s="171" t="str">
        <f t="shared" si="82"/>
        <v>SUCCESS</v>
      </c>
      <c r="Z93" s="171" t="str">
        <f t="shared" si="83"/>
        <v>ERROR</v>
      </c>
      <c r="AA93" s="185">
        <f t="shared" si="84"/>
        <v>144.15671439234572</v>
      </c>
    </row>
    <row r="94" spans="1:27">
      <c r="A94" s="119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280</v>
      </c>
      <c r="B94" s="120">
        <f t="shared" si="77"/>
        <v>34271</v>
      </c>
      <c r="C94" s="121">
        <f t="shared" si="94"/>
        <v>238.65200000000016</v>
      </c>
      <c r="D94" s="191" t="s">
        <v>14</v>
      </c>
      <c r="E94" s="192">
        <f>IF(H93="AFIII",VLOOKUP($D94,Sheet1!$A$34:$K$48,5,FALSE),IF(H93="UBIII",VLOOKUP($D94,Sheet1!$A$34:$K$48,8,FALSE),VLOOKUP($D94,Sheet1!$A$34:$K$48,2,FALSE)))</f>
        <v>2.86</v>
      </c>
      <c r="F94" s="192">
        <f>ROUNDDOWN((IF(H93="AFIII",VLOOKUP($D94,Sheet1!$A$34:$K$48,5,FALSE),IF(H93="UBIII",VLOOKUP($D94,Sheet1!$A$34:$K$48,8,FALSE),VLOOKUP($D94,Sheet1!$A$34:$K$48,2,FALSE))))*0.85,2)</f>
        <v>2.4300000000000002</v>
      </c>
      <c r="G94" s="192">
        <f t="shared" si="85"/>
        <v>2.86</v>
      </c>
      <c r="H94" s="193" t="s">
        <v>122</v>
      </c>
      <c r="I94" s="192">
        <f t="shared" ref="I94" si="96">I93-G94</f>
        <v>7.1400000000000006</v>
      </c>
      <c r="J94" s="193"/>
      <c r="K94" s="192">
        <v>25</v>
      </c>
      <c r="L94" s="192">
        <f t="shared" si="92"/>
        <v>-26.25</v>
      </c>
      <c r="M94" s="193"/>
      <c r="N94" s="192"/>
      <c r="O94" s="192">
        <f t="shared" ref="O94:O108" si="97">O93-G94</f>
        <v>49.5</v>
      </c>
      <c r="P94" s="193"/>
      <c r="Q94" s="192"/>
      <c r="R94" s="192">
        <f t="shared" si="95"/>
        <v>39</v>
      </c>
      <c r="S94" s="193"/>
      <c r="T94" s="192"/>
      <c r="U94" s="194"/>
      <c r="V94" s="211">
        <f>IF(H93="AFIII",VLOOKUP(D94,Sheet1!$A$4:$H$18,5,FALSE),IF(H93="UBIII",VLOOKUP(D94,Sheet1!$A$4:$H$18,8,FALSE),IF(H93="",VLOOKUP(D94,Sheet1!$A$4:$H$18,2,FALSE),"0")))</f>
        <v>884</v>
      </c>
      <c r="W94" s="211">
        <f t="shared" si="80"/>
        <v>7033</v>
      </c>
      <c r="X94" s="212">
        <f t="shared" si="81"/>
        <v>7533</v>
      </c>
      <c r="Y94" s="195" t="str">
        <f t="shared" si="82"/>
        <v>SUCCESS</v>
      </c>
      <c r="Z94" s="195" t="str">
        <f t="shared" si="83"/>
        <v>ERROR</v>
      </c>
      <c r="AA94" s="185">
        <f t="shared" si="84"/>
        <v>143.60240014749499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168</v>
      </c>
      <c r="B95" s="113">
        <f t="shared" si="77"/>
        <v>34439</v>
      </c>
      <c r="C95" s="118">
        <f t="shared" si="94"/>
        <v>241.04200000000014</v>
      </c>
      <c r="D95" s="181" t="s">
        <v>4</v>
      </c>
      <c r="E95" s="182">
        <f>IF(H94="AFIII",VLOOKUP($D95,Sheet1!$A$34:$K$48,5,FALSE),IF(H94="UBIII",VLOOKUP($D95,Sheet1!$A$34:$K$48,8,FALSE),VLOOKUP($D95,Sheet1!$A$34:$K$48,2,FALSE)))</f>
        <v>1.67</v>
      </c>
      <c r="F95" s="182">
        <f>ROUNDDOWN((IF(H94="AFIII",VLOOKUP($D95,Sheet1!$A$34:$K$48,5,FALSE),IF(H94="UBIII",VLOOKUP($D95,Sheet1!$A$34:$K$48,8,FALSE),VLOOKUP($D95,Sheet1!$A$34:$K$48,2,FALSE))))*0.85,2)</f>
        <v>1.41</v>
      </c>
      <c r="G95" s="182">
        <f t="shared" si="85"/>
        <v>2.39</v>
      </c>
      <c r="H95" s="183" t="s">
        <v>84</v>
      </c>
      <c r="I95" s="182">
        <v>10</v>
      </c>
      <c r="K95" s="182">
        <f>K94-G95</f>
        <v>22.61</v>
      </c>
      <c r="L95" s="182">
        <f t="shared" si="92"/>
        <v>-28.64</v>
      </c>
      <c r="O95" s="182">
        <f t="shared" si="97"/>
        <v>47.11</v>
      </c>
      <c r="R95" s="182">
        <f t="shared" si="95"/>
        <v>36.61</v>
      </c>
      <c r="V95" s="201">
        <f>IF(H94="AFIII",VLOOKUP(D95,Sheet1!$A$4:$H$18,5,FALSE),IF(H94="UBIII",VLOOKUP(D95,Sheet1!$A$4:$H$18,8,FALSE),IF(H94="",VLOOKUP(D95,Sheet1!$A$4:$H$18,2,FALSE),"0")))</f>
        <v>442</v>
      </c>
      <c r="W95" s="201">
        <f t="shared" si="80"/>
        <v>7033</v>
      </c>
      <c r="X95" s="208">
        <f t="shared" si="81"/>
        <v>10950</v>
      </c>
      <c r="Y95" s="171" t="str">
        <f t="shared" si="82"/>
        <v>SUCCESS</v>
      </c>
      <c r="Z95" s="171" t="str">
        <f t="shared" si="83"/>
        <v>SUCCESS</v>
      </c>
      <c r="AA95" s="185">
        <f t="shared" si="84"/>
        <v>142.87551547033289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504</v>
      </c>
      <c r="B96" s="113">
        <f t="shared" si="77"/>
        <v>34943</v>
      </c>
      <c r="C96" s="118">
        <f t="shared" si="94"/>
        <v>243.90200000000016</v>
      </c>
      <c r="D96" s="181" t="s">
        <v>6</v>
      </c>
      <c r="E96" s="182">
        <f>IF(H95="AFIII",VLOOKUP($D96,Sheet1!$A$34:$K$48,5,FALSE),IF(H95="UBIII",VLOOKUP($D96,Sheet1!$A$34:$K$48,8,FALSE),VLOOKUP($D96,Sheet1!$A$34:$K$48,2,FALSE)))</f>
        <v>2.86</v>
      </c>
      <c r="F96" s="182">
        <f>ROUNDDOWN((IF(H95="AFIII",VLOOKUP($D96,Sheet1!$A$34:$K$48,5,FALSE),IF(H95="UBIII",VLOOKUP($D96,Sheet1!$A$34:$K$48,8,FALSE),VLOOKUP($D96,Sheet1!$A$34:$K$48,2,FALSE))))*0.85,2)</f>
        <v>2.4300000000000002</v>
      </c>
      <c r="G96" s="182">
        <f t="shared" si="85"/>
        <v>2.86</v>
      </c>
      <c r="H96" s="183" t="s">
        <v>84</v>
      </c>
      <c r="I96" s="182">
        <f>I95-G96</f>
        <v>7.1400000000000006</v>
      </c>
      <c r="K96" s="182">
        <f t="shared" ref="K96:K101" si="98">K95-G96</f>
        <v>19.75</v>
      </c>
      <c r="L96" s="182">
        <f t="shared" si="92"/>
        <v>-31.5</v>
      </c>
      <c r="O96" s="182">
        <f t="shared" si="97"/>
        <v>44.25</v>
      </c>
      <c r="R96" s="182">
        <f t="shared" si="95"/>
        <v>33.75</v>
      </c>
      <c r="V96" s="201">
        <f>IF(H95="AFIII",VLOOKUP(D96,Sheet1!$A$4:$H$18,5,FALSE),IF(H95="UBIII",VLOOKUP(D96,Sheet1!$A$4:$H$18,8,FALSE),IF(H95="",VLOOKUP(D96,Sheet1!$A$4:$H$18,2,FALSE),"0")))</f>
        <v>1768</v>
      </c>
      <c r="W96" s="201">
        <f t="shared" si="80"/>
        <v>0</v>
      </c>
      <c r="X96" s="208">
        <f t="shared" si="81"/>
        <v>9182</v>
      </c>
      <c r="Y96" s="171" t="str">
        <f t="shared" si="82"/>
        <v>SUCCESS</v>
      </c>
      <c r="Z96" s="171" t="str">
        <f t="shared" si="83"/>
        <v>SUCCESS</v>
      </c>
      <c r="AA96" s="185">
        <f t="shared" si="84"/>
        <v>143.26655787980408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504</v>
      </c>
      <c r="B97" s="113">
        <f t="shared" si="77"/>
        <v>35447</v>
      </c>
      <c r="C97" s="118">
        <f t="shared" si="94"/>
        <v>246.76200000000017</v>
      </c>
      <c r="D97" s="181" t="s">
        <v>6</v>
      </c>
      <c r="E97" s="182">
        <f>IF(H96="AFIII",VLOOKUP($D97,Sheet1!$A$34:$K$48,5,FALSE),IF(H96="UBIII",VLOOKUP($D97,Sheet1!$A$34:$K$48,8,FALSE),VLOOKUP($D97,Sheet1!$A$34:$K$48,2,FALSE)))</f>
        <v>2.86</v>
      </c>
      <c r="F97" s="182">
        <f>ROUNDDOWN((IF(H96="AFIII",VLOOKUP($D97,Sheet1!$A$34:$K$48,5,FALSE),IF(H96="UBIII",VLOOKUP($D97,Sheet1!$A$34:$K$48,8,FALSE),VLOOKUP($D97,Sheet1!$A$34:$K$48,2,FALSE))))*0.85,2)</f>
        <v>2.4300000000000002</v>
      </c>
      <c r="G97" s="182">
        <f t="shared" si="85"/>
        <v>2.86</v>
      </c>
      <c r="H97" s="183" t="s">
        <v>84</v>
      </c>
      <c r="I97" s="182">
        <f>I96-G97</f>
        <v>4.2800000000000011</v>
      </c>
      <c r="K97" s="182">
        <f t="shared" si="98"/>
        <v>16.89</v>
      </c>
      <c r="L97" s="182">
        <f t="shared" si="92"/>
        <v>-34.36</v>
      </c>
      <c r="O97" s="182">
        <f t="shared" si="97"/>
        <v>41.39</v>
      </c>
      <c r="R97" s="182">
        <f t="shared" si="95"/>
        <v>30.89</v>
      </c>
      <c r="V97" s="201">
        <f>IF(H96="AFIII",VLOOKUP(D97,Sheet1!$A$4:$H$18,5,FALSE),IF(H96="UBIII",VLOOKUP(D97,Sheet1!$A$4:$H$18,8,FALSE),IF(H96="",VLOOKUP(D97,Sheet1!$A$4:$H$18,2,FALSE),"0")))</f>
        <v>1768</v>
      </c>
      <c r="W97" s="201">
        <f t="shared" si="80"/>
        <v>0</v>
      </c>
      <c r="X97" s="208">
        <f t="shared" si="81"/>
        <v>7414</v>
      </c>
      <c r="Y97" s="171" t="str">
        <f t="shared" si="82"/>
        <v>SUCCESS</v>
      </c>
      <c r="Z97" s="171" t="str">
        <f t="shared" si="83"/>
        <v>SUCCESS</v>
      </c>
      <c r="AA97" s="185">
        <f t="shared" si="84"/>
        <v>143.6485358361497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496</v>
      </c>
      <c r="B98" s="113">
        <f t="shared" si="77"/>
        <v>35943</v>
      </c>
      <c r="C98" s="118">
        <f t="shared" si="94"/>
        <v>250.10800000000017</v>
      </c>
      <c r="D98" s="181" t="s">
        <v>128</v>
      </c>
      <c r="E98" s="182">
        <f>IF(H97="AFIII",VLOOKUP($D98,Sheet1!$A$34:$K$48,5,FALSE),IF(H97="UBIII",VLOOKUP($D98,Sheet1!$A$34:$K$48,8,FALSE),VLOOKUP($D98,Sheet1!$A$34:$K$48,2,FALSE)))</f>
        <v>3.3460000000000001</v>
      </c>
      <c r="F98" s="182">
        <f>ROUNDDOWN((IF(H97="AFIII",VLOOKUP($D98,Sheet1!$A$34:$K$48,5,FALSE),IF(H97="UBIII",VLOOKUP($D98,Sheet1!$A$34:$K$48,8,FALSE),VLOOKUP($D98,Sheet1!$A$34:$K$48,2,FALSE))))*0.85,2)</f>
        <v>2.84</v>
      </c>
      <c r="G98" s="182">
        <f t="shared" si="85"/>
        <v>3.3460000000000001</v>
      </c>
      <c r="H98" s="183" t="s">
        <v>84</v>
      </c>
      <c r="I98" s="182">
        <v>10</v>
      </c>
      <c r="K98" s="182">
        <f t="shared" si="98"/>
        <v>13.544</v>
      </c>
      <c r="L98" s="182">
        <f t="shared" si="92"/>
        <v>-37.706000000000003</v>
      </c>
      <c r="O98" s="182">
        <f t="shared" si="97"/>
        <v>38.043999999999997</v>
      </c>
      <c r="R98" s="182">
        <f t="shared" si="95"/>
        <v>27.544</v>
      </c>
      <c r="V98" s="201">
        <f>IF(H97="AFIII",VLOOKUP(D98,Sheet1!$A$4:$H$18,5,FALSE),IF(H97="UBIII",VLOOKUP(D98,Sheet1!$A$4:$H$18,8,FALSE),IF(H97="",VLOOKUP(D98,Sheet1!$A$4:$H$18,2,FALSE),"0")))</f>
        <v>2120</v>
      </c>
      <c r="W98" s="201">
        <f t="shared" si="80"/>
        <v>0</v>
      </c>
      <c r="X98" s="208">
        <f t="shared" si="81"/>
        <v>5294</v>
      </c>
      <c r="Y98" s="171" t="str">
        <f t="shared" si="82"/>
        <v>SUCCESS</v>
      </c>
      <c r="Z98" s="171" t="str">
        <f t="shared" si="83"/>
        <v>SUCCESS</v>
      </c>
      <c r="AA98" s="185">
        <f t="shared" si="84"/>
        <v>143.70991731571951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504</v>
      </c>
      <c r="B99" s="113">
        <f t="shared" si="77"/>
        <v>36447</v>
      </c>
      <c r="C99" s="118">
        <f t="shared" si="94"/>
        <v>252.96800000000019</v>
      </c>
      <c r="D99" s="181" t="s">
        <v>6</v>
      </c>
      <c r="E99" s="182">
        <f>IF(H98="AFIII",VLOOKUP($D99,Sheet1!$A$34:$K$48,5,FALSE),IF(H98="UBIII",VLOOKUP($D99,Sheet1!$A$34:$K$48,8,FALSE),VLOOKUP($D99,Sheet1!$A$34:$K$48,2,FALSE)))</f>
        <v>2.86</v>
      </c>
      <c r="F99" s="182">
        <f>ROUNDDOWN((IF(H98="AFIII",VLOOKUP($D99,Sheet1!$A$34:$K$48,5,FALSE),IF(H98="UBIII",VLOOKUP($D99,Sheet1!$A$34:$K$48,8,FALSE),VLOOKUP($D99,Sheet1!$A$34:$K$48,2,FALSE))))*0.85,2)</f>
        <v>2.4300000000000002</v>
      </c>
      <c r="G99" s="182">
        <f t="shared" si="85"/>
        <v>2.86</v>
      </c>
      <c r="H99" s="183" t="s">
        <v>84</v>
      </c>
      <c r="I99" s="182">
        <f>I98-G99</f>
        <v>7.1400000000000006</v>
      </c>
      <c r="K99" s="182">
        <f t="shared" si="98"/>
        <v>10.684000000000001</v>
      </c>
      <c r="L99" s="182">
        <f t="shared" si="92"/>
        <v>-40.566000000000003</v>
      </c>
      <c r="O99" s="182">
        <f t="shared" si="97"/>
        <v>35.183999999999997</v>
      </c>
      <c r="R99" s="182">
        <f t="shared" si="95"/>
        <v>24.684000000000001</v>
      </c>
      <c r="V99" s="201">
        <f>IF(H98="AFIII",VLOOKUP(D99,Sheet1!$A$4:$H$18,5,FALSE),IF(H98="UBIII",VLOOKUP(D99,Sheet1!$A$4:$H$18,8,FALSE),IF(H98="",VLOOKUP(D99,Sheet1!$A$4:$H$18,2,FALSE),"0")))</f>
        <v>1768</v>
      </c>
      <c r="W99" s="201">
        <f t="shared" si="80"/>
        <v>0</v>
      </c>
      <c r="X99" s="208">
        <f t="shared" si="81"/>
        <v>3526</v>
      </c>
      <c r="Y99" s="171" t="str">
        <f t="shared" si="82"/>
        <v>SUCCESS</v>
      </c>
      <c r="Z99" s="171" t="str">
        <f t="shared" si="83"/>
        <v>SUCCESS</v>
      </c>
      <c r="AA99" s="185">
        <f t="shared" si="84"/>
        <v>144.07751178014601</v>
      </c>
    </row>
    <row r="100" spans="1:27">
      <c r="A100" s="112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504</v>
      </c>
      <c r="B100" s="113">
        <f t="shared" si="77"/>
        <v>36951</v>
      </c>
      <c r="C100" s="118">
        <f t="shared" si="94"/>
        <v>255.8280000000002</v>
      </c>
      <c r="D100" s="181" t="s">
        <v>6</v>
      </c>
      <c r="E100" s="182">
        <f>IF(H99="AFIII",VLOOKUP($D100,Sheet1!$A$34:$K$48,5,FALSE),IF(H99="UBIII",VLOOKUP($D100,Sheet1!$A$34:$K$48,8,FALSE),VLOOKUP($D100,Sheet1!$A$34:$K$48,2,FALSE)))</f>
        <v>2.86</v>
      </c>
      <c r="F100" s="182">
        <f>ROUNDDOWN((IF(H99="AFIII",VLOOKUP($D100,Sheet1!$A$34:$K$48,5,FALSE),IF(H99="UBIII",VLOOKUP($D100,Sheet1!$A$34:$K$48,8,FALSE),VLOOKUP($D100,Sheet1!$A$34:$K$48,2,FALSE))))*0.85,2)</f>
        <v>2.4300000000000002</v>
      </c>
      <c r="G100" s="182">
        <f t="shared" si="85"/>
        <v>2.86</v>
      </c>
      <c r="H100" s="183" t="s">
        <v>84</v>
      </c>
      <c r="I100" s="182">
        <f>I99-G100</f>
        <v>4.2800000000000011</v>
      </c>
      <c r="K100" s="182">
        <f t="shared" si="98"/>
        <v>7.8240000000000016</v>
      </c>
      <c r="L100" s="182">
        <f t="shared" si="92"/>
        <v>-43.426000000000002</v>
      </c>
      <c r="O100" s="182">
        <f t="shared" si="97"/>
        <v>32.323999999999998</v>
      </c>
      <c r="R100" s="182">
        <f t="shared" si="95"/>
        <v>21.824000000000002</v>
      </c>
      <c r="V100" s="201">
        <f>IF(H99="AFIII",VLOOKUP(D100,Sheet1!$A$4:$H$18,5,FALSE),IF(H99="UBIII",VLOOKUP(D100,Sheet1!$A$4:$H$18,8,FALSE),IF(H99="",VLOOKUP(D100,Sheet1!$A$4:$H$18,2,FALSE),"0")))</f>
        <v>1768</v>
      </c>
      <c r="W100" s="201">
        <f t="shared" si="80"/>
        <v>0</v>
      </c>
      <c r="X100" s="208">
        <f t="shared" si="81"/>
        <v>1758</v>
      </c>
      <c r="Y100" s="171" t="str">
        <f t="shared" si="82"/>
        <v>SUCCESS</v>
      </c>
      <c r="Z100" s="171" t="str">
        <f t="shared" si="83"/>
        <v>SUCCESS</v>
      </c>
      <c r="AA100" s="185">
        <f t="shared" si="84"/>
        <v>144.43688728364359</v>
      </c>
    </row>
    <row r="101" spans="1:27">
      <c r="A101" s="112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168</v>
      </c>
      <c r="B101" s="113">
        <f t="shared" si="77"/>
        <v>37119</v>
      </c>
      <c r="C101" s="118">
        <f t="shared" si="94"/>
        <v>258.21800000000019</v>
      </c>
      <c r="D101" s="181" t="s">
        <v>12</v>
      </c>
      <c r="E101" s="182">
        <f>IF(H100="AFIII",VLOOKUP($D101,Sheet1!$A$34:$K$48,5,FALSE),IF(H100="UBIII",VLOOKUP($D101,Sheet1!$A$34:$K$48,8,FALSE),VLOOKUP($D101,Sheet1!$A$34:$K$48,2,FALSE)))</f>
        <v>1.67</v>
      </c>
      <c r="F101" s="182">
        <f>ROUNDDOWN((IF(H100="AFIII",VLOOKUP($D101,Sheet1!$A$34:$K$48,5,FALSE),IF(H100="UBIII",VLOOKUP($D101,Sheet1!$A$34:$K$48,8,FALSE),VLOOKUP($D101,Sheet1!$A$34:$K$48,2,FALSE))))*0.85,2)</f>
        <v>1.41</v>
      </c>
      <c r="G101" s="182">
        <f t="shared" si="85"/>
        <v>2.39</v>
      </c>
      <c r="H101" s="183" t="s">
        <v>122</v>
      </c>
      <c r="I101" s="182">
        <v>10</v>
      </c>
      <c r="K101" s="182">
        <f t="shared" si="98"/>
        <v>5.4340000000000011</v>
      </c>
      <c r="L101" s="182">
        <f t="shared" si="92"/>
        <v>-45.816000000000003</v>
      </c>
      <c r="O101" s="182">
        <f t="shared" si="97"/>
        <v>29.933999999999997</v>
      </c>
      <c r="R101" s="182">
        <f t="shared" si="95"/>
        <v>19.434000000000001</v>
      </c>
      <c r="S101" s="183" t="s">
        <v>221</v>
      </c>
      <c r="T101" s="182">
        <v>30</v>
      </c>
      <c r="U101" s="184">
        <v>90</v>
      </c>
      <c r="V101" s="201">
        <f>IF(H100="AFIII",VLOOKUP(D101,Sheet1!$A$4:$H$18,5,FALSE),IF(H100="UBIII",VLOOKUP(D101,Sheet1!$A$4:$H$18,8,FALSE),IF(H100="",VLOOKUP(D101,Sheet1!$A$4:$H$18,2,FALSE),"0")))</f>
        <v>265</v>
      </c>
      <c r="W101" s="201">
        <f t="shared" si="80"/>
        <v>0</v>
      </c>
      <c r="X101" s="208">
        <f t="shared" si="81"/>
        <v>1493</v>
      </c>
      <c r="Y101" s="171" t="str">
        <f t="shared" si="82"/>
        <v>SUCCESS</v>
      </c>
      <c r="Z101" s="171" t="str">
        <f t="shared" si="83"/>
        <v>SUCCESS</v>
      </c>
      <c r="AA101" s="185">
        <f t="shared" si="84"/>
        <v>143.75062931321585</v>
      </c>
    </row>
    <row r="102" spans="1:27">
      <c r="A102" s="119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280</v>
      </c>
      <c r="B102" s="120">
        <f t="shared" si="77"/>
        <v>37399</v>
      </c>
      <c r="C102" s="121">
        <f t="shared" si="94"/>
        <v>260.6480000000002</v>
      </c>
      <c r="D102" s="191" t="s">
        <v>14</v>
      </c>
      <c r="E102" s="192">
        <f>IF(H101="AFIII",VLOOKUP($D102,Sheet1!$A$34:$K$48,5,FALSE),IF(H101="UBIII",VLOOKUP($D102,Sheet1!$A$34:$K$48,8,FALSE),VLOOKUP($D102,Sheet1!$A$34:$K$48,2,FALSE)))</f>
        <v>2.86</v>
      </c>
      <c r="F102" s="192">
        <f>ROUNDDOWN((IF(H101="AFIII",VLOOKUP($D102,Sheet1!$A$34:$K$48,5,FALSE),IF(H101="UBIII",VLOOKUP($D102,Sheet1!$A$34:$K$48,8,FALSE),VLOOKUP($D102,Sheet1!$A$34:$K$48,2,FALSE))))*0.85,2)</f>
        <v>2.4300000000000002</v>
      </c>
      <c r="G102" s="192">
        <f t="shared" si="85"/>
        <v>2.4300000000000002</v>
      </c>
      <c r="H102" s="193" t="s">
        <v>122</v>
      </c>
      <c r="I102" s="192">
        <f>I101-G102</f>
        <v>7.57</v>
      </c>
      <c r="J102" s="193"/>
      <c r="K102" s="192">
        <v>20</v>
      </c>
      <c r="L102" s="192">
        <f t="shared" si="92"/>
        <v>-48.246000000000002</v>
      </c>
      <c r="M102" s="193"/>
      <c r="N102" s="192"/>
      <c r="O102" s="192">
        <f t="shared" si="97"/>
        <v>27.503999999999998</v>
      </c>
      <c r="P102" s="193"/>
      <c r="Q102" s="192"/>
      <c r="R102" s="192">
        <f t="shared" si="95"/>
        <v>17.004000000000001</v>
      </c>
      <c r="S102" s="193" t="s">
        <v>217</v>
      </c>
      <c r="T102" s="192">
        <f t="shared" ref="T102:T114" si="99">T101-G102</f>
        <v>27.57</v>
      </c>
      <c r="U102" s="194">
        <f t="shared" ref="U102:U138" si="100">U101-G102</f>
        <v>87.57</v>
      </c>
      <c r="V102" s="211">
        <f>IF(H101="AFIII",VLOOKUP(D102,Sheet1!$A$4:$H$18,5,FALSE),IF(H101="UBIII",VLOOKUP(D102,Sheet1!$A$4:$H$18,8,FALSE),IF(H101="",VLOOKUP(D102,Sheet1!$A$4:$H$18,2,FALSE),"0")))</f>
        <v>884</v>
      </c>
      <c r="W102" s="211">
        <f t="shared" si="80"/>
        <v>7033</v>
      </c>
      <c r="X102" s="212">
        <f t="shared" si="81"/>
        <v>7642</v>
      </c>
      <c r="Y102" s="195" t="str">
        <f t="shared" si="82"/>
        <v>SUCCESS</v>
      </c>
      <c r="Z102" s="195" t="str">
        <f t="shared" si="83"/>
        <v>SUCCESS</v>
      </c>
      <c r="AA102" s="185">
        <f t="shared" si="84"/>
        <v>143.48469967158763</v>
      </c>
    </row>
    <row r="103" spans="1:27">
      <c r="A103" s="112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168</v>
      </c>
      <c r="B103" s="113">
        <f t="shared" si="77"/>
        <v>37567</v>
      </c>
      <c r="C103" s="118">
        <f t="shared" si="94"/>
        <v>262.67800000000017</v>
      </c>
      <c r="D103" s="181" t="s">
        <v>3</v>
      </c>
      <c r="E103" s="182">
        <f>IF(H102="AFIII",VLOOKUP($D103,Sheet1!$A$34:$K$48,5,FALSE),IF(H102="UBIII",VLOOKUP($D103,Sheet1!$A$34:$K$48,8,FALSE),VLOOKUP($D103,Sheet1!$A$34:$K$48,2,FALSE)))</f>
        <v>1.67</v>
      </c>
      <c r="F103" s="182">
        <f>ROUNDDOWN((IF(H102="AFIII",VLOOKUP($D103,Sheet1!$A$34:$K$48,5,FALSE),IF(H102="UBIII",VLOOKUP($D103,Sheet1!$A$34:$K$48,8,FALSE),VLOOKUP($D103,Sheet1!$A$34:$K$48,2,FALSE))))*0.85,2)</f>
        <v>1.41</v>
      </c>
      <c r="G103" s="182">
        <f t="shared" si="85"/>
        <v>2.0299999999999998</v>
      </c>
      <c r="H103" s="183" t="s">
        <v>84</v>
      </c>
      <c r="I103" s="182">
        <v>10</v>
      </c>
      <c r="K103" s="182">
        <f>K102-G103</f>
        <v>17.97</v>
      </c>
      <c r="L103" s="182">
        <f t="shared" si="92"/>
        <v>-50.276000000000003</v>
      </c>
      <c r="O103" s="182">
        <f t="shared" si="97"/>
        <v>25.473999999999997</v>
      </c>
      <c r="R103" s="182">
        <f t="shared" si="95"/>
        <v>14.974000000000002</v>
      </c>
      <c r="S103" s="183" t="s">
        <v>217</v>
      </c>
      <c r="T103" s="182">
        <f t="shared" si="99"/>
        <v>25.54</v>
      </c>
      <c r="U103" s="184">
        <f t="shared" si="100"/>
        <v>85.539999999999992</v>
      </c>
      <c r="V103" s="201">
        <f>IF(H102="AFIII",VLOOKUP(D103,Sheet1!$A$4:$H$18,5,FALSE),IF(H102="UBIII",VLOOKUP(D103,Sheet1!$A$4:$H$18,8,FALSE),IF(H102="",VLOOKUP(D103,Sheet1!$A$4:$H$18,2,FALSE),"0")))</f>
        <v>442</v>
      </c>
      <c r="W103" s="201">
        <f t="shared" si="80"/>
        <v>7033</v>
      </c>
      <c r="X103" s="208">
        <f t="shared" si="81"/>
        <v>10950</v>
      </c>
      <c r="Y103" s="171" t="str">
        <f t="shared" si="82"/>
        <v>SUCCESS</v>
      </c>
      <c r="Z103" s="171" t="str">
        <f t="shared" si="83"/>
        <v>SUCCESS</v>
      </c>
      <c r="AA103" s="185">
        <f t="shared" si="84"/>
        <v>143.01540288870777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504</v>
      </c>
      <c r="B104" s="113">
        <f t="shared" si="77"/>
        <v>38071</v>
      </c>
      <c r="C104" s="118">
        <f t="shared" si="94"/>
        <v>265.10800000000017</v>
      </c>
      <c r="D104" s="181" t="s">
        <v>5</v>
      </c>
      <c r="E104" s="182">
        <f>IF(H103="AFIII",VLOOKUP($D104,Sheet1!$A$34:$K$48,5,FALSE),IF(H103="UBIII",VLOOKUP($D104,Sheet1!$A$34:$K$48,8,FALSE),VLOOKUP($D104,Sheet1!$A$34:$K$48,2,FALSE)))</f>
        <v>2.86</v>
      </c>
      <c r="F104" s="182">
        <f>ROUNDDOWN((IF(H103="AFIII",VLOOKUP($D104,Sheet1!$A$34:$K$48,5,FALSE),IF(H103="UBIII",VLOOKUP($D104,Sheet1!$A$34:$K$48,8,FALSE),VLOOKUP($D104,Sheet1!$A$34:$K$48,2,FALSE))))*0.85,2)</f>
        <v>2.4300000000000002</v>
      </c>
      <c r="G104" s="182">
        <f t="shared" si="85"/>
        <v>2.4300000000000002</v>
      </c>
      <c r="H104" s="183" t="s">
        <v>84</v>
      </c>
      <c r="I104" s="182">
        <f>I103-G104</f>
        <v>7.57</v>
      </c>
      <c r="K104" s="182">
        <f t="shared" ref="K104:K109" si="101">K103-G104</f>
        <v>15.54</v>
      </c>
      <c r="L104" s="182">
        <f t="shared" si="92"/>
        <v>-52.706000000000003</v>
      </c>
      <c r="O104" s="182">
        <f t="shared" si="97"/>
        <v>23.043999999999997</v>
      </c>
      <c r="R104" s="182">
        <f t="shared" si="95"/>
        <v>12.544000000000002</v>
      </c>
      <c r="S104" s="183" t="s">
        <v>217</v>
      </c>
      <c r="T104" s="182">
        <f t="shared" si="99"/>
        <v>23.11</v>
      </c>
      <c r="U104" s="184">
        <f t="shared" si="100"/>
        <v>83.109999999999985</v>
      </c>
      <c r="V104" s="201">
        <f>IF(H103="AFIII",VLOOKUP(D104,Sheet1!$A$4:$H$18,5,FALSE),IF(H103="UBIII",VLOOKUP(D104,Sheet1!$A$4:$H$18,8,FALSE),IF(H103="",VLOOKUP(D104,Sheet1!$A$4:$H$18,2,FALSE),"0")))</f>
        <v>1768</v>
      </c>
      <c r="W104" s="201">
        <f t="shared" si="80"/>
        <v>0</v>
      </c>
      <c r="X104" s="208">
        <f t="shared" si="81"/>
        <v>9182</v>
      </c>
      <c r="Y104" s="171" t="str">
        <f t="shared" si="82"/>
        <v>SUCCESS</v>
      </c>
      <c r="Z104" s="171" t="str">
        <f t="shared" si="83"/>
        <v>SUCCESS</v>
      </c>
      <c r="AA104" s="185">
        <f t="shared" si="84"/>
        <v>143.60562487740836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504</v>
      </c>
      <c r="B105" s="113">
        <f t="shared" si="77"/>
        <v>38575</v>
      </c>
      <c r="C105" s="118">
        <f t="shared" si="94"/>
        <v>267.53800000000018</v>
      </c>
      <c r="D105" s="181" t="s">
        <v>5</v>
      </c>
      <c r="E105" s="182">
        <f>IF(H104="AFIII",VLOOKUP($D105,Sheet1!$A$34:$K$48,5,FALSE),IF(H104="UBIII",VLOOKUP($D105,Sheet1!$A$34:$K$48,8,FALSE),VLOOKUP($D105,Sheet1!$A$34:$K$48,2,FALSE)))</f>
        <v>2.86</v>
      </c>
      <c r="F105" s="182">
        <f>ROUNDDOWN((IF(H104="AFIII",VLOOKUP($D105,Sheet1!$A$34:$K$48,5,FALSE),IF(H104="UBIII",VLOOKUP($D105,Sheet1!$A$34:$K$48,8,FALSE),VLOOKUP($D105,Sheet1!$A$34:$K$48,2,FALSE))))*0.85,2)</f>
        <v>2.4300000000000002</v>
      </c>
      <c r="G105" s="182">
        <f t="shared" si="85"/>
        <v>2.4300000000000002</v>
      </c>
      <c r="H105" s="183" t="s">
        <v>84</v>
      </c>
      <c r="I105" s="182">
        <f t="shared" ref="I105" si="102">I104-G105</f>
        <v>5.1400000000000006</v>
      </c>
      <c r="K105" s="182">
        <f t="shared" si="101"/>
        <v>13.11</v>
      </c>
      <c r="L105" s="182">
        <f t="shared" si="92"/>
        <v>-55.136000000000003</v>
      </c>
      <c r="O105" s="182">
        <f t="shared" si="97"/>
        <v>20.613999999999997</v>
      </c>
      <c r="R105" s="182">
        <f t="shared" si="95"/>
        <v>10.114000000000003</v>
      </c>
      <c r="S105" s="183" t="s">
        <v>217</v>
      </c>
      <c r="T105" s="182">
        <f t="shared" si="99"/>
        <v>20.68</v>
      </c>
      <c r="U105" s="184">
        <f t="shared" si="100"/>
        <v>80.679999999999978</v>
      </c>
      <c r="V105" s="201">
        <f>IF(H104="AFIII",VLOOKUP(D105,Sheet1!$A$4:$H$18,5,FALSE),IF(H104="UBIII",VLOOKUP(D105,Sheet1!$A$4:$H$18,8,FALSE),IF(H104="",VLOOKUP(D105,Sheet1!$A$4:$H$18,2,FALSE),"0")))</f>
        <v>1768</v>
      </c>
      <c r="W105" s="201">
        <f t="shared" si="80"/>
        <v>0</v>
      </c>
      <c r="X105" s="208">
        <f t="shared" si="81"/>
        <v>7414</v>
      </c>
      <c r="Y105" s="171" t="str">
        <f t="shared" si="82"/>
        <v>SUCCESS</v>
      </c>
      <c r="Z105" s="171" t="str">
        <f t="shared" si="83"/>
        <v>SUCCESS</v>
      </c>
      <c r="AA105" s="185">
        <f t="shared" si="84"/>
        <v>144.18512510372349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496</v>
      </c>
      <c r="B106" s="113">
        <f t="shared" si="77"/>
        <v>39071</v>
      </c>
      <c r="C106" s="118">
        <f t="shared" si="94"/>
        <v>270.37800000000016</v>
      </c>
      <c r="D106" s="181" t="s">
        <v>128</v>
      </c>
      <c r="E106" s="182">
        <f>IF(H105="AFIII",VLOOKUP($D106,Sheet1!$A$34:$K$48,5,FALSE),IF(H105="UBIII",VLOOKUP($D106,Sheet1!$A$34:$K$48,8,FALSE),VLOOKUP($D106,Sheet1!$A$34:$K$48,2,FALSE)))</f>
        <v>3.3460000000000001</v>
      </c>
      <c r="F106" s="182">
        <f>ROUNDDOWN((IF(H105="AFIII",VLOOKUP($D106,Sheet1!$A$34:$K$48,5,FALSE),IF(H105="UBIII",VLOOKUP($D106,Sheet1!$A$34:$K$48,8,FALSE),VLOOKUP($D106,Sheet1!$A$34:$K$48,2,FALSE))))*0.85,2)</f>
        <v>2.84</v>
      </c>
      <c r="G106" s="182">
        <f t="shared" si="85"/>
        <v>2.84</v>
      </c>
      <c r="H106" s="183" t="s">
        <v>84</v>
      </c>
      <c r="I106" s="182">
        <v>10</v>
      </c>
      <c r="K106" s="182">
        <f t="shared" si="101"/>
        <v>10.27</v>
      </c>
      <c r="L106" s="182">
        <f t="shared" si="92"/>
        <v>-57.975999999999999</v>
      </c>
      <c r="O106" s="182">
        <f t="shared" si="97"/>
        <v>17.773999999999997</v>
      </c>
      <c r="R106" s="182">
        <f>R105-G106</f>
        <v>7.2740000000000027</v>
      </c>
      <c r="S106" s="183" t="s">
        <v>217</v>
      </c>
      <c r="T106" s="182">
        <f t="shared" si="99"/>
        <v>17.84</v>
      </c>
      <c r="U106" s="184">
        <f t="shared" si="100"/>
        <v>77.839999999999975</v>
      </c>
      <c r="V106" s="201">
        <f>IF(H105="AFIII",VLOOKUP(D106,Sheet1!$A$4:$H$18,5,FALSE),IF(H105="UBIII",VLOOKUP(D106,Sheet1!$A$4:$H$18,8,FALSE),IF(H105="",VLOOKUP(D106,Sheet1!$A$4:$H$18,2,FALSE),"0")))</f>
        <v>2120</v>
      </c>
      <c r="W106" s="201">
        <f t="shared" si="80"/>
        <v>0</v>
      </c>
      <c r="X106" s="208">
        <f t="shared" si="81"/>
        <v>5294</v>
      </c>
      <c r="Y106" s="171" t="str">
        <f t="shared" si="82"/>
        <v>SUCCESS</v>
      </c>
      <c r="Z106" s="171" t="str">
        <f t="shared" si="83"/>
        <v>SUCCESS</v>
      </c>
      <c r="AA106" s="185">
        <f t="shared" si="84"/>
        <v>144.50510026703347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504</v>
      </c>
      <c r="B107" s="113">
        <f t="shared" si="77"/>
        <v>39575</v>
      </c>
      <c r="C107" s="118">
        <f t="shared" si="94"/>
        <v>272.80800000000016</v>
      </c>
      <c r="D107" s="181" t="s">
        <v>6</v>
      </c>
      <c r="E107" s="182">
        <f>IF(H106="AFIII",VLOOKUP($D107,Sheet1!$A$34:$K$48,5,FALSE),IF(H106="UBIII",VLOOKUP($D107,Sheet1!$A$34:$K$48,8,FALSE),VLOOKUP($D107,Sheet1!$A$34:$K$48,2,FALSE)))</f>
        <v>2.86</v>
      </c>
      <c r="F107" s="182">
        <f>ROUNDDOWN((IF(H106="AFIII",VLOOKUP($D107,Sheet1!$A$34:$K$48,5,FALSE),IF(H106="UBIII",VLOOKUP($D107,Sheet1!$A$34:$K$48,8,FALSE),VLOOKUP($D107,Sheet1!$A$34:$K$48,2,FALSE))))*0.85,2)</f>
        <v>2.4300000000000002</v>
      </c>
      <c r="G107" s="182">
        <f t="shared" si="85"/>
        <v>2.4300000000000002</v>
      </c>
      <c r="H107" s="183" t="s">
        <v>84</v>
      </c>
      <c r="I107" s="182">
        <f>I106-G107</f>
        <v>7.57</v>
      </c>
      <c r="K107" s="182">
        <f t="shared" si="101"/>
        <v>7.84</v>
      </c>
      <c r="L107" s="182">
        <f t="shared" si="92"/>
        <v>-60.405999999999999</v>
      </c>
      <c r="O107" s="182">
        <f t="shared" si="97"/>
        <v>15.343999999999998</v>
      </c>
      <c r="R107" s="182">
        <f t="shared" ref="R107:R111" si="103">R106-G107</f>
        <v>4.844000000000003</v>
      </c>
      <c r="S107" s="183" t="s">
        <v>217</v>
      </c>
      <c r="T107" s="182">
        <f t="shared" si="99"/>
        <v>15.41</v>
      </c>
      <c r="U107" s="184">
        <f t="shared" si="100"/>
        <v>75.409999999999968</v>
      </c>
      <c r="V107" s="201">
        <f>IF(H106="AFIII",VLOOKUP(D107,Sheet1!$A$4:$H$18,5,FALSE),IF(H106="UBIII",VLOOKUP(D107,Sheet1!$A$4:$H$18,8,FALSE),IF(H106="",VLOOKUP(D107,Sheet1!$A$4:$H$18,2,FALSE),"0")))</f>
        <v>1768</v>
      </c>
      <c r="W107" s="201">
        <f t="shared" si="80"/>
        <v>0</v>
      </c>
      <c r="X107" s="208">
        <f t="shared" si="81"/>
        <v>3526</v>
      </c>
      <c r="Y107" s="171" t="str">
        <f t="shared" si="82"/>
        <v>SUCCESS</v>
      </c>
      <c r="Z107" s="171" t="str">
        <f t="shared" si="83"/>
        <v>SUCCESS</v>
      </c>
      <c r="AA107" s="185">
        <f t="shared" si="84"/>
        <v>145.06539397671614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504</v>
      </c>
      <c r="B108" s="113">
        <f t="shared" si="77"/>
        <v>40079</v>
      </c>
      <c r="C108" s="118">
        <f t="shared" si="94"/>
        <v>275.23800000000017</v>
      </c>
      <c r="D108" s="181" t="s">
        <v>6</v>
      </c>
      <c r="E108" s="182">
        <f>IF(H107="AFIII",VLOOKUP($D108,Sheet1!$A$34:$K$48,5,FALSE),IF(H107="UBIII",VLOOKUP($D108,Sheet1!$A$34:$K$48,8,FALSE),VLOOKUP($D108,Sheet1!$A$34:$K$48,2,FALSE)))</f>
        <v>2.86</v>
      </c>
      <c r="F108" s="182">
        <f>ROUNDDOWN((IF(H107="AFIII",VLOOKUP($D108,Sheet1!$A$34:$K$48,5,FALSE),IF(H107="UBIII",VLOOKUP($D108,Sheet1!$A$34:$K$48,8,FALSE),VLOOKUP($D108,Sheet1!$A$34:$K$48,2,FALSE))))*0.85,2)</f>
        <v>2.4300000000000002</v>
      </c>
      <c r="G108" s="182">
        <f t="shared" si="85"/>
        <v>2.4300000000000002</v>
      </c>
      <c r="H108" s="183" t="s">
        <v>84</v>
      </c>
      <c r="I108" s="182">
        <f>I107-G108</f>
        <v>5.1400000000000006</v>
      </c>
      <c r="K108" s="182">
        <f t="shared" si="101"/>
        <v>5.41</v>
      </c>
      <c r="L108" s="182">
        <f t="shared" si="92"/>
        <v>-62.835999999999999</v>
      </c>
      <c r="O108" s="182">
        <f t="shared" si="97"/>
        <v>12.913999999999998</v>
      </c>
      <c r="R108" s="182">
        <f t="shared" si="103"/>
        <v>2.4140000000000028</v>
      </c>
      <c r="S108" s="183" t="s">
        <v>217</v>
      </c>
      <c r="T108" s="182">
        <f t="shared" si="99"/>
        <v>12.98</v>
      </c>
      <c r="U108" s="184">
        <f t="shared" si="100"/>
        <v>72.979999999999961</v>
      </c>
      <c r="V108" s="201">
        <f>IF(H107="AFIII",VLOOKUP(D108,Sheet1!$A$4:$H$18,5,FALSE),IF(H107="UBIII",VLOOKUP(D108,Sheet1!$A$4:$H$18,8,FALSE),IF(H107="",VLOOKUP(D108,Sheet1!$A$4:$H$18,2,FALSE),"0")))</f>
        <v>1768</v>
      </c>
      <c r="W108" s="201">
        <f t="shared" si="80"/>
        <v>0</v>
      </c>
      <c r="X108" s="208">
        <f t="shared" si="81"/>
        <v>1758</v>
      </c>
      <c r="Y108" s="171" t="str">
        <f t="shared" si="82"/>
        <v>SUCCESS</v>
      </c>
      <c r="Z108" s="171" t="str">
        <f t="shared" si="83"/>
        <v>SUCCESS</v>
      </c>
      <c r="AA108" s="185">
        <f t="shared" si="84"/>
        <v>145.61579433072458</v>
      </c>
    </row>
    <row r="109" spans="1:27">
      <c r="A109" s="112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168</v>
      </c>
      <c r="B109" s="113">
        <f t="shared" si="77"/>
        <v>40247</v>
      </c>
      <c r="C109" s="118">
        <f t="shared" si="94"/>
        <v>277.26800000000014</v>
      </c>
      <c r="D109" s="181" t="s">
        <v>12</v>
      </c>
      <c r="E109" s="182">
        <f>IF(H108="AFIII",VLOOKUP($D109,Sheet1!$A$34:$K$48,5,FALSE),IF(H108="UBIII",VLOOKUP($D109,Sheet1!$A$34:$K$48,8,FALSE),VLOOKUP($D109,Sheet1!$A$34:$K$48,2,FALSE)))</f>
        <v>1.67</v>
      </c>
      <c r="F109" s="182">
        <f>ROUNDDOWN((IF(H108="AFIII",VLOOKUP($D109,Sheet1!$A$34:$K$48,5,FALSE),IF(H108="UBIII",VLOOKUP($D109,Sheet1!$A$34:$K$48,8,FALSE),VLOOKUP($D109,Sheet1!$A$34:$K$48,2,FALSE))))*0.85,2)</f>
        <v>1.41</v>
      </c>
      <c r="G109" s="182">
        <f t="shared" si="85"/>
        <v>2.0299999999999998</v>
      </c>
      <c r="H109" s="183" t="s">
        <v>122</v>
      </c>
      <c r="I109" s="182">
        <v>10</v>
      </c>
      <c r="K109" s="182">
        <f t="shared" si="101"/>
        <v>3.3800000000000003</v>
      </c>
      <c r="L109" s="182">
        <f t="shared" si="92"/>
        <v>-64.866</v>
      </c>
      <c r="O109" s="182">
        <f>O108-G109</f>
        <v>10.883999999999999</v>
      </c>
      <c r="P109" s="183" t="s">
        <v>136</v>
      </c>
      <c r="R109" s="182">
        <f t="shared" si="103"/>
        <v>0.38400000000000301</v>
      </c>
      <c r="S109" s="183" t="s">
        <v>217</v>
      </c>
      <c r="T109" s="182">
        <f t="shared" si="99"/>
        <v>10.950000000000001</v>
      </c>
      <c r="U109" s="184">
        <f t="shared" si="100"/>
        <v>70.94999999999996</v>
      </c>
      <c r="V109" s="201">
        <f>IF(H108="AFIII",VLOOKUP(D109,Sheet1!$A$4:$H$18,5,FALSE),IF(H108="UBIII",VLOOKUP(D109,Sheet1!$A$4:$H$18,8,FALSE),IF(H108="",VLOOKUP(D109,Sheet1!$A$4:$H$18,2,FALSE),"0")))</f>
        <v>265</v>
      </c>
      <c r="W109" s="201">
        <f t="shared" si="80"/>
        <v>0</v>
      </c>
      <c r="X109" s="208">
        <f t="shared" si="81"/>
        <v>1493</v>
      </c>
      <c r="Y109" s="171" t="str">
        <f t="shared" si="82"/>
        <v>SUCCESS</v>
      </c>
      <c r="Z109" s="171" t="str">
        <f t="shared" si="83"/>
        <v>SUCCESS</v>
      </c>
      <c r="AA109" s="185">
        <f t="shared" si="84"/>
        <v>145.15558953791992</v>
      </c>
    </row>
    <row r="110" spans="1:27">
      <c r="A110" s="119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280</v>
      </c>
      <c r="B110" s="120">
        <f t="shared" si="77"/>
        <v>40527</v>
      </c>
      <c r="C110" s="121">
        <f t="shared" si="94"/>
        <v>279.69800000000015</v>
      </c>
      <c r="D110" s="191" t="s">
        <v>14</v>
      </c>
      <c r="E110" s="192">
        <f>IF(H109="AFIII",VLOOKUP($D110,Sheet1!$A$34:$K$48,5,FALSE),IF(H109="UBIII",VLOOKUP($D110,Sheet1!$A$34:$K$48,8,FALSE),VLOOKUP($D110,Sheet1!$A$34:$K$48,2,FALSE)))</f>
        <v>2.86</v>
      </c>
      <c r="F110" s="192">
        <f>ROUNDDOWN((IF(H109="AFIII",VLOOKUP($D110,Sheet1!$A$34:$K$48,5,FALSE),IF(H109="UBIII",VLOOKUP($D110,Sheet1!$A$34:$K$48,8,FALSE),VLOOKUP($D110,Sheet1!$A$34:$K$48,2,FALSE))))*0.85,2)</f>
        <v>2.4300000000000002</v>
      </c>
      <c r="G110" s="192">
        <f t="shared" si="85"/>
        <v>2.4300000000000002</v>
      </c>
      <c r="H110" s="193" t="s">
        <v>122</v>
      </c>
      <c r="I110" s="192">
        <f>I109-G110</f>
        <v>7.57</v>
      </c>
      <c r="J110" s="193"/>
      <c r="K110" s="192">
        <v>15</v>
      </c>
      <c r="L110" s="192">
        <f t="shared" si="92"/>
        <v>-67.296000000000006</v>
      </c>
      <c r="M110" s="193"/>
      <c r="N110" s="192"/>
      <c r="O110" s="192">
        <f t="shared" ref="O110:O114" si="104">O109-G110</f>
        <v>8.4539999999999988</v>
      </c>
      <c r="P110" s="193"/>
      <c r="Q110" s="192"/>
      <c r="R110" s="192">
        <f t="shared" si="103"/>
        <v>-2.0459999999999972</v>
      </c>
      <c r="S110" s="193" t="s">
        <v>217</v>
      </c>
      <c r="T110" s="192">
        <f t="shared" si="99"/>
        <v>8.5200000000000014</v>
      </c>
      <c r="U110" s="194">
        <f t="shared" si="100"/>
        <v>68.519999999999953</v>
      </c>
      <c r="V110" s="211">
        <f>IF(H109="AFIII",VLOOKUP(D110,Sheet1!$A$4:$H$18,5,FALSE),IF(H109="UBIII",VLOOKUP(D110,Sheet1!$A$4:$H$18,8,FALSE),IF(H109="",VLOOKUP(D110,Sheet1!$A$4:$H$18,2,FALSE),"0")))</f>
        <v>884</v>
      </c>
      <c r="W110" s="211">
        <f t="shared" si="80"/>
        <v>7033</v>
      </c>
      <c r="X110" s="212">
        <f t="shared" si="81"/>
        <v>7642</v>
      </c>
      <c r="Y110" s="195" t="str">
        <f t="shared" si="82"/>
        <v>SUCCESS</v>
      </c>
      <c r="Z110" s="195" t="str">
        <f t="shared" si="83"/>
        <v>SUCCESS</v>
      </c>
      <c r="AA110" s="185">
        <f t="shared" si="84"/>
        <v>144.89556593182638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168</v>
      </c>
      <c r="B111" s="113">
        <f t="shared" si="77"/>
        <v>40695</v>
      </c>
      <c r="C111" s="118">
        <f t="shared" si="94"/>
        <v>281.72800000000012</v>
      </c>
      <c r="D111" s="181" t="s">
        <v>4</v>
      </c>
      <c r="E111" s="182">
        <f>IF(H110="AFIII",VLOOKUP($D111,Sheet1!$A$34:$K$48,5,FALSE),IF(H110="UBIII",VLOOKUP($D111,Sheet1!$A$34:$K$48,8,FALSE),VLOOKUP($D111,Sheet1!$A$34:$K$48,2,FALSE)))</f>
        <v>1.67</v>
      </c>
      <c r="F111" s="182">
        <f>ROUNDDOWN((IF(H110="AFIII",VLOOKUP($D111,Sheet1!$A$34:$K$48,5,FALSE),IF(H110="UBIII",VLOOKUP($D111,Sheet1!$A$34:$K$48,8,FALSE),VLOOKUP($D111,Sheet1!$A$34:$K$48,2,FALSE))))*0.85,2)</f>
        <v>1.41</v>
      </c>
      <c r="G111" s="182">
        <f t="shared" si="85"/>
        <v>2.0299999999999998</v>
      </c>
      <c r="H111" s="183" t="s">
        <v>84</v>
      </c>
      <c r="I111" s="182">
        <v>10</v>
      </c>
      <c r="K111" s="182">
        <f t="shared" ref="K111:K119" si="105">K110-G111</f>
        <v>12.97</v>
      </c>
      <c r="L111" s="182">
        <f t="shared" si="92"/>
        <v>-69.326000000000008</v>
      </c>
      <c r="O111" s="182">
        <f t="shared" si="104"/>
        <v>6.4239999999999995</v>
      </c>
      <c r="R111" s="182">
        <f t="shared" si="103"/>
        <v>-4.075999999999997</v>
      </c>
      <c r="S111" s="183" t="s">
        <v>217</v>
      </c>
      <c r="T111" s="182">
        <f t="shared" si="99"/>
        <v>6.490000000000002</v>
      </c>
      <c r="U111" s="184">
        <f t="shared" si="100"/>
        <v>66.489999999999952</v>
      </c>
      <c r="V111" s="201">
        <f>IF(H110="AFIII",VLOOKUP(D111,Sheet1!$A$4:$H$18,5,FALSE),IF(H110="UBIII",VLOOKUP(D111,Sheet1!$A$4:$H$18,8,FALSE),IF(H110="",VLOOKUP(D111,Sheet1!$A$4:$H$18,2,FALSE),"0")))</f>
        <v>442</v>
      </c>
      <c r="W111" s="201">
        <f t="shared" si="80"/>
        <v>7033</v>
      </c>
      <c r="X111" s="208">
        <f t="shared" si="81"/>
        <v>10950</v>
      </c>
      <c r="Y111" s="171" t="str">
        <f t="shared" si="82"/>
        <v>SUCCESS</v>
      </c>
      <c r="Z111" s="171" t="str">
        <f t="shared" si="83"/>
        <v>SUCCESS</v>
      </c>
      <c r="AA111" s="185">
        <f t="shared" si="84"/>
        <v>144.44783621081319</v>
      </c>
    </row>
    <row r="112" spans="1:27">
      <c r="A112" s="112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504</v>
      </c>
      <c r="B112" s="113">
        <f t="shared" si="77"/>
        <v>41199</v>
      </c>
      <c r="C112" s="118">
        <f t="shared" si="94"/>
        <v>284.15800000000013</v>
      </c>
      <c r="D112" s="181" t="s">
        <v>6</v>
      </c>
      <c r="E112" s="182">
        <f>IF(H111="AFIII",VLOOKUP($D112,Sheet1!$A$34:$K$48,5,FALSE),IF(H111="UBIII",VLOOKUP($D112,Sheet1!$A$34:$K$48,8,FALSE),VLOOKUP($D112,Sheet1!$A$34:$K$48,2,FALSE)))</f>
        <v>2.86</v>
      </c>
      <c r="F112" s="182">
        <f>ROUNDDOWN((IF(H111="AFIII",VLOOKUP($D112,Sheet1!$A$34:$K$48,5,FALSE),IF(H111="UBIII",VLOOKUP($D112,Sheet1!$A$34:$K$48,8,FALSE),VLOOKUP($D112,Sheet1!$A$34:$K$48,2,FALSE))))*0.85,2)</f>
        <v>2.4300000000000002</v>
      </c>
      <c r="G112" s="182">
        <f t="shared" si="85"/>
        <v>2.4300000000000002</v>
      </c>
      <c r="H112" s="183" t="s">
        <v>84</v>
      </c>
      <c r="I112" s="182">
        <f>I111-G112</f>
        <v>7.57</v>
      </c>
      <c r="K112" s="182">
        <f t="shared" si="105"/>
        <v>10.540000000000001</v>
      </c>
      <c r="L112" s="182">
        <f t="shared" si="92"/>
        <v>-71.756000000000014</v>
      </c>
      <c r="O112" s="182">
        <f t="shared" si="104"/>
        <v>3.9939999999999993</v>
      </c>
      <c r="R112" s="182">
        <f>R111-G112</f>
        <v>-6.5059999999999967</v>
      </c>
      <c r="S112" s="183" t="s">
        <v>221</v>
      </c>
      <c r="T112" s="182">
        <f t="shared" si="99"/>
        <v>4.0600000000000023</v>
      </c>
      <c r="U112" s="184">
        <f t="shared" si="100"/>
        <v>64.059999999999945</v>
      </c>
      <c r="V112" s="201">
        <f>IF(H111="AFIII",VLOOKUP(D112,Sheet1!$A$4:$H$18,5,FALSE),IF(H111="UBIII",VLOOKUP(D112,Sheet1!$A$4:$H$18,8,FALSE),IF(H111="",VLOOKUP(D112,Sheet1!$A$4:$H$18,2,FALSE),"0")))</f>
        <v>1768</v>
      </c>
      <c r="W112" s="201">
        <f t="shared" si="80"/>
        <v>0</v>
      </c>
      <c r="X112" s="208">
        <f t="shared" si="81"/>
        <v>9182</v>
      </c>
      <c r="Y112" s="171" t="str">
        <f t="shared" si="82"/>
        <v>SUCCESS</v>
      </c>
      <c r="Z112" s="171" t="str">
        <f t="shared" si="83"/>
        <v>SUCCESS</v>
      </c>
      <c r="AA112" s="185">
        <f t="shared" si="84"/>
        <v>144.98624004954982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504</v>
      </c>
      <c r="B113" s="113">
        <f t="shared" si="77"/>
        <v>41703</v>
      </c>
      <c r="C113" s="118">
        <f t="shared" si="94"/>
        <v>286.58800000000014</v>
      </c>
      <c r="D113" s="181" t="s">
        <v>6</v>
      </c>
      <c r="E113" s="182">
        <f>IF(H112="AFIII",VLOOKUP($D113,Sheet1!$A$34:$K$48,5,FALSE),IF(H112="UBIII",VLOOKUP($D113,Sheet1!$A$34:$K$48,8,FALSE),VLOOKUP($D113,Sheet1!$A$34:$K$48,2,FALSE)))</f>
        <v>2.86</v>
      </c>
      <c r="F113" s="182">
        <f>ROUNDDOWN((IF(H112="AFIII",VLOOKUP($D113,Sheet1!$A$34:$K$48,5,FALSE),IF(H112="UBIII",VLOOKUP($D113,Sheet1!$A$34:$K$48,8,FALSE),VLOOKUP($D113,Sheet1!$A$34:$K$48,2,FALSE))))*0.85,2)</f>
        <v>2.4300000000000002</v>
      </c>
      <c r="G113" s="182">
        <f t="shared" si="85"/>
        <v>2.4300000000000002</v>
      </c>
      <c r="H113" s="183" t="s">
        <v>84</v>
      </c>
      <c r="I113" s="182">
        <f>I112-G113</f>
        <v>5.1400000000000006</v>
      </c>
      <c r="K113" s="182">
        <f t="shared" si="105"/>
        <v>8.1100000000000012</v>
      </c>
      <c r="L113" s="182">
        <f t="shared" si="92"/>
        <v>-74.186000000000021</v>
      </c>
      <c r="O113" s="182">
        <f t="shared" si="104"/>
        <v>1.5639999999999992</v>
      </c>
      <c r="P113" s="183" t="s">
        <v>219</v>
      </c>
      <c r="R113" s="182">
        <v>60</v>
      </c>
      <c r="S113" s="183" t="s">
        <v>221</v>
      </c>
      <c r="T113" s="182">
        <f t="shared" si="99"/>
        <v>1.6300000000000021</v>
      </c>
      <c r="U113" s="184">
        <f t="shared" si="100"/>
        <v>61.629999999999946</v>
      </c>
      <c r="V113" s="201">
        <f>IF(H112="AFIII",VLOOKUP(D113,Sheet1!$A$4:$H$18,5,FALSE),IF(H112="UBIII",VLOOKUP(D113,Sheet1!$A$4:$H$18,8,FALSE),IF(H112="",VLOOKUP(D113,Sheet1!$A$4:$H$18,2,FALSE),"0")))</f>
        <v>1768</v>
      </c>
      <c r="W113" s="201">
        <f t="shared" si="80"/>
        <v>0</v>
      </c>
      <c r="X113" s="208">
        <f t="shared" si="81"/>
        <v>7414</v>
      </c>
      <c r="Y113" s="171" t="str">
        <f t="shared" si="82"/>
        <v>SUCCESS</v>
      </c>
      <c r="Z113" s="171" t="str">
        <f t="shared" si="83"/>
        <v>SUCCESS</v>
      </c>
      <c r="AA113" s="185">
        <f t="shared" si="84"/>
        <v>145.51551355953487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324</v>
      </c>
      <c r="B114" s="113">
        <f t="shared" si="77"/>
        <v>42027</v>
      </c>
      <c r="C114" s="118">
        <f t="shared" si="94"/>
        <v>288.61800000000011</v>
      </c>
      <c r="D114" s="181" t="s">
        <v>1</v>
      </c>
      <c r="E114" s="182">
        <f>IF(H113="AFIII",VLOOKUP($D114,Sheet1!$A$34:$K$48,5,FALSE),IF(H113="UBIII",VLOOKUP($D114,Sheet1!$A$34:$K$48,8,FALSE),VLOOKUP($D114,Sheet1!$A$34:$K$48,2,FALSE)))</f>
        <v>2.39</v>
      </c>
      <c r="F114" s="182">
        <f>ROUNDDOWN((IF(H113="AFIII",VLOOKUP($D114,Sheet1!$A$34:$K$48,5,FALSE),IF(H113="UBIII",VLOOKUP($D114,Sheet1!$A$34:$K$48,8,FALSE),VLOOKUP($D114,Sheet1!$A$34:$K$48,2,FALSE))))*0.85,2)</f>
        <v>2.0299999999999998</v>
      </c>
      <c r="G114" s="182">
        <f t="shared" si="85"/>
        <v>2.0299999999999998</v>
      </c>
      <c r="H114" s="183" t="s">
        <v>84</v>
      </c>
      <c r="I114" s="182">
        <v>10</v>
      </c>
      <c r="K114" s="182">
        <f t="shared" si="105"/>
        <v>6.0800000000000018</v>
      </c>
      <c r="L114" s="182">
        <f t="shared" si="92"/>
        <v>-76.216000000000022</v>
      </c>
      <c r="M114" s="183" t="s">
        <v>225</v>
      </c>
      <c r="O114" s="182">
        <f t="shared" si="104"/>
        <v>-0.46600000000000064</v>
      </c>
      <c r="R114" s="182">
        <f t="shared" ref="R114:R136" si="106">R113-G114</f>
        <v>57.97</v>
      </c>
      <c r="T114" s="182">
        <f t="shared" si="99"/>
        <v>-0.39999999999999769</v>
      </c>
      <c r="U114" s="184">
        <f t="shared" si="100"/>
        <v>59.599999999999945</v>
      </c>
      <c r="V114" s="201">
        <f>IF(H113="AFIII",VLOOKUP(D114,Sheet1!$A$4:$H$18,5,FALSE),IF(H113="UBIII",VLOOKUP(D114,Sheet1!$A$4:$H$18,8,FALSE),IF(H113="",VLOOKUP(D114,Sheet1!$A$4:$H$18,2,FALSE),"0")))</f>
        <v>2120</v>
      </c>
      <c r="W114" s="201">
        <f t="shared" si="80"/>
        <v>0</v>
      </c>
      <c r="X114" s="208">
        <f t="shared" si="81"/>
        <v>5294</v>
      </c>
      <c r="Y114" s="171" t="str">
        <f t="shared" si="82"/>
        <v>SUCCESS</v>
      </c>
      <c r="Z114" s="171" t="str">
        <f t="shared" si="83"/>
        <v>SUCCESS</v>
      </c>
      <c r="AA114" s="185">
        <f t="shared" si="84"/>
        <v>145.61461863085458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504</v>
      </c>
      <c r="B115" s="113">
        <f t="shared" si="77"/>
        <v>42531</v>
      </c>
      <c r="C115" s="118">
        <f t="shared" si="94"/>
        <v>291.47800000000012</v>
      </c>
      <c r="D115" s="181" t="s">
        <v>6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85"/>
        <v>2.86</v>
      </c>
      <c r="H115" s="183" t="s">
        <v>84</v>
      </c>
      <c r="I115" s="182">
        <f>I114-G115</f>
        <v>7.1400000000000006</v>
      </c>
      <c r="K115" s="182">
        <f t="shared" si="105"/>
        <v>3.220000000000002</v>
      </c>
      <c r="L115" s="182">
        <f t="shared" si="92"/>
        <v>-79.076000000000022</v>
      </c>
      <c r="M115" s="183" t="s">
        <v>218</v>
      </c>
      <c r="O115" s="182">
        <v>60</v>
      </c>
      <c r="R115" s="182">
        <f t="shared" si="106"/>
        <v>55.11</v>
      </c>
      <c r="U115" s="184">
        <f t="shared" si="100"/>
        <v>56.739999999999945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80"/>
        <v>0</v>
      </c>
      <c r="X115" s="208">
        <f t="shared" si="81"/>
        <v>3526</v>
      </c>
      <c r="Y115" s="171" t="str">
        <f t="shared" si="82"/>
        <v>SUCCESS</v>
      </c>
      <c r="Z115" s="171" t="str">
        <f t="shared" si="83"/>
        <v>SUCCESS</v>
      </c>
      <c r="AA115" s="185">
        <f t="shared" si="84"/>
        <v>145.91495756111948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504</v>
      </c>
      <c r="B116" s="113">
        <f t="shared" si="77"/>
        <v>43035</v>
      </c>
      <c r="C116" s="118">
        <f t="shared" si="94"/>
        <v>293.86800000000011</v>
      </c>
      <c r="D116" s="181" t="s">
        <v>6</v>
      </c>
      <c r="E116" s="182">
        <f>IF(H115="AFIII",VLOOKUP($D116,Sheet1!$A$34:$K$48,5,FALSE),IF(H115="UBIII",VLOOKUP($D116,Sheet1!$A$34:$K$48,8,FALSE),VLOOKUP($D116,Sheet1!$A$34:$K$48,2,FALSE)))</f>
        <v>2.86</v>
      </c>
      <c r="F116" s="182">
        <f>ROUNDDOWN((IF(H115="AFIII",VLOOKUP($D116,Sheet1!$A$34:$K$48,5,FALSE),IF(H115="UBIII",VLOOKUP($D116,Sheet1!$A$34:$K$48,8,FALSE),VLOOKUP($D116,Sheet1!$A$34:$K$48,2,FALSE))))*0.85,2)</f>
        <v>2.4300000000000002</v>
      </c>
      <c r="G116" s="182">
        <f t="shared" si="85"/>
        <v>2.39</v>
      </c>
      <c r="H116" s="183" t="s">
        <v>84</v>
      </c>
      <c r="I116" s="182">
        <f t="shared" ref="I116" si="107">I115-G116</f>
        <v>4.75</v>
      </c>
      <c r="K116" s="182">
        <f t="shared" si="105"/>
        <v>0.83000000000000185</v>
      </c>
      <c r="L116" s="182">
        <f t="shared" si="92"/>
        <v>-81.466000000000022</v>
      </c>
      <c r="O116" s="182">
        <f>O115-G116</f>
        <v>57.61</v>
      </c>
      <c r="R116" s="182">
        <f t="shared" si="106"/>
        <v>52.72</v>
      </c>
      <c r="U116" s="184">
        <f t="shared" si="100"/>
        <v>54.349999999999945</v>
      </c>
      <c r="V116" s="201">
        <f>IF(H115="AFIII",VLOOKUP(D116,Sheet1!$A$4:$H$18,5,FALSE),IF(H115="UBIII",VLOOKUP(D116,Sheet1!$A$4:$H$18,8,FALSE),IF(H115="",VLOOKUP(D116,Sheet1!$A$4:$H$18,2,FALSE),"0")))</f>
        <v>1768</v>
      </c>
      <c r="W116" s="201">
        <f t="shared" si="80"/>
        <v>0</v>
      </c>
      <c r="X116" s="208">
        <f t="shared" si="81"/>
        <v>1758</v>
      </c>
      <c r="Y116" s="171" t="str">
        <f t="shared" si="82"/>
        <v>SUCCESS</v>
      </c>
      <c r="Z116" s="171" t="str">
        <f t="shared" si="83"/>
        <v>SUCCESS</v>
      </c>
      <c r="AA116" s="185">
        <f t="shared" si="84"/>
        <v>146.44330107395152</v>
      </c>
    </row>
    <row r="117" spans="1:27">
      <c r="A117" s="11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432</v>
      </c>
      <c r="B117" s="113">
        <f t="shared" si="77"/>
        <v>43467</v>
      </c>
      <c r="C117" s="118">
        <f t="shared" si="94"/>
        <v>296.2580000000001</v>
      </c>
      <c r="D117" s="181" t="s">
        <v>129</v>
      </c>
      <c r="E117" s="182">
        <f>IF(H116="AFIII",VLOOKUP($D117,Sheet1!$A$34:$K$48,5,FALSE),IF(H116="UBIII",VLOOKUP($D117,Sheet1!$A$34:$K$48,8,FALSE),VLOOKUP($D117,Sheet1!$A$34:$K$48,2,FALSE)))</f>
        <v>2.39</v>
      </c>
      <c r="F117" s="182">
        <f>ROUNDDOWN((IF(H116="AFIII",VLOOKUP($D117,Sheet1!$A$34:$K$48,5,FALSE),IF(H116="UBIII",VLOOKUP($D117,Sheet1!$A$34:$K$48,8,FALSE),VLOOKUP($D117,Sheet1!$A$34:$K$48,2,FALSE))))*0.85,2)</f>
        <v>2.0299999999999998</v>
      </c>
      <c r="G117" s="182">
        <f t="shared" si="85"/>
        <v>2.39</v>
      </c>
      <c r="H117" s="183" t="s">
        <v>84</v>
      </c>
      <c r="I117" s="182">
        <v>10</v>
      </c>
      <c r="K117" s="182">
        <f t="shared" si="105"/>
        <v>-1.5599999999999983</v>
      </c>
      <c r="L117" s="182">
        <f t="shared" si="92"/>
        <v>-83.856000000000023</v>
      </c>
      <c r="O117" s="182">
        <f t="shared" ref="O117:O130" si="108">O116-G117</f>
        <v>55.22</v>
      </c>
      <c r="R117" s="182">
        <f t="shared" si="106"/>
        <v>50.33</v>
      </c>
      <c r="U117" s="184">
        <f t="shared" si="100"/>
        <v>51.959999999999944</v>
      </c>
      <c r="V117" s="201">
        <f>IF(H116="AFIII",VLOOKUP(D117,Sheet1!$A$4:$H$18,5,FALSE),IF(H116="UBIII",VLOOKUP(D117,Sheet1!$A$4:$H$18,8,FALSE),IF(H116="",VLOOKUP(D117,Sheet1!$A$4:$H$18,2,FALSE),"0")))</f>
        <v>0</v>
      </c>
      <c r="W117" s="201">
        <f t="shared" si="80"/>
        <v>0</v>
      </c>
      <c r="X117" s="208">
        <f t="shared" si="81"/>
        <v>1758</v>
      </c>
      <c r="Y117" s="171" t="str">
        <f t="shared" si="82"/>
        <v>SUCCESS</v>
      </c>
      <c r="Z117" s="171" t="str">
        <f t="shared" si="83"/>
        <v>ERROR</v>
      </c>
      <c r="AA117" s="185">
        <f t="shared" si="84"/>
        <v>146.7200885714478</v>
      </c>
    </row>
    <row r="118" spans="1:27">
      <c r="A118" s="112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168</v>
      </c>
      <c r="B118" s="113">
        <f t="shared" si="77"/>
        <v>43635</v>
      </c>
      <c r="C118" s="118">
        <f t="shared" si="94"/>
        <v>298.64800000000008</v>
      </c>
      <c r="D118" s="181" t="s">
        <v>12</v>
      </c>
      <c r="E118" s="182">
        <f>IF(H117="AFIII",VLOOKUP($D118,Sheet1!$A$34:$K$48,5,FALSE),IF(H117="UBIII",VLOOKUP($D118,Sheet1!$A$34:$K$48,8,FALSE),VLOOKUP($D118,Sheet1!$A$34:$K$48,2,FALSE)))</f>
        <v>1.67</v>
      </c>
      <c r="F118" s="182">
        <f>ROUNDDOWN((IF(H117="AFIII",VLOOKUP($D118,Sheet1!$A$34:$K$48,5,FALSE),IF(H117="UBIII",VLOOKUP($D118,Sheet1!$A$34:$K$48,8,FALSE),VLOOKUP($D118,Sheet1!$A$34:$K$48,2,FALSE))))*0.85,2)</f>
        <v>1.41</v>
      </c>
      <c r="G118" s="182">
        <f t="shared" si="85"/>
        <v>2.39</v>
      </c>
      <c r="H118" s="183" t="s">
        <v>122</v>
      </c>
      <c r="I118" s="182">
        <v>10</v>
      </c>
      <c r="K118" s="182">
        <f t="shared" si="105"/>
        <v>-3.9499999999999984</v>
      </c>
      <c r="L118" s="182">
        <f t="shared" si="92"/>
        <v>-86.246000000000024</v>
      </c>
      <c r="O118" s="182">
        <f t="shared" si="108"/>
        <v>52.83</v>
      </c>
      <c r="R118" s="182">
        <f t="shared" si="106"/>
        <v>47.94</v>
      </c>
      <c r="U118" s="184">
        <f t="shared" si="100"/>
        <v>49.569999999999943</v>
      </c>
      <c r="V118" s="201">
        <f>IF(H117="AFIII",VLOOKUP(D118,Sheet1!$A$4:$H$18,5,FALSE),IF(H117="UBIII",VLOOKUP(D118,Sheet1!$A$4:$H$18,8,FALSE),IF(H117="",VLOOKUP(D118,Sheet1!$A$4:$H$18,2,FALSE),"0")))</f>
        <v>265</v>
      </c>
      <c r="W118" s="201">
        <f t="shared" si="80"/>
        <v>0</v>
      </c>
      <c r="X118" s="208">
        <f t="shared" si="81"/>
        <v>1493</v>
      </c>
      <c r="Y118" s="171" t="str">
        <f t="shared" si="82"/>
        <v>SUCCESS</v>
      </c>
      <c r="Z118" s="171" t="str">
        <f t="shared" si="83"/>
        <v>ERROR</v>
      </c>
      <c r="AA118" s="185">
        <f t="shared" si="84"/>
        <v>146.10846213602633</v>
      </c>
    </row>
    <row r="119" spans="1:27">
      <c r="A119" s="12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295</v>
      </c>
      <c r="B119" s="123">
        <f t="shared" si="77"/>
        <v>43930</v>
      </c>
      <c r="C119" s="124">
        <f>C118+G119</f>
        <v>301.5080000000001</v>
      </c>
      <c r="D119" s="186" t="s">
        <v>19</v>
      </c>
      <c r="E119" s="187">
        <f>IF(H118="AFIII",VLOOKUP($D119,Sheet1!$A$34:$K$48,5,FALSE),IF(H118="UBIII",VLOOKUP($D119,Sheet1!$A$34:$K$48,8,FALSE),VLOOKUP($D119,Sheet1!$A$34:$K$48,2,FALSE)))</f>
        <v>2.86</v>
      </c>
      <c r="F119" s="187">
        <f>ROUNDDOWN((IF(H118="AFIII",VLOOKUP($D119,Sheet1!$A$34:$K$48,5,FALSE),IF(H118="UBIII",VLOOKUP($D119,Sheet1!$A$34:$K$48,8,FALSE),VLOOKUP($D119,Sheet1!$A$34:$K$48,2,FALSE))))*0.85,2)</f>
        <v>2.4300000000000002</v>
      </c>
      <c r="G119" s="187">
        <f t="shared" si="85"/>
        <v>2.86</v>
      </c>
      <c r="H119" s="188" t="s">
        <v>122</v>
      </c>
      <c r="I119" s="187">
        <f>I118-G119</f>
        <v>7.1400000000000006</v>
      </c>
      <c r="J119" s="188" t="s">
        <v>138</v>
      </c>
      <c r="K119" s="187">
        <f t="shared" si="105"/>
        <v>-6.8099999999999987</v>
      </c>
      <c r="L119" s="187">
        <f t="shared" si="92"/>
        <v>-89.106000000000023</v>
      </c>
      <c r="M119" s="188"/>
      <c r="N119" s="187"/>
      <c r="O119" s="187">
        <f t="shared" si="108"/>
        <v>49.97</v>
      </c>
      <c r="P119" s="188" t="s">
        <v>17</v>
      </c>
      <c r="Q119" s="187">
        <v>21</v>
      </c>
      <c r="R119" s="187">
        <f t="shared" si="106"/>
        <v>45.08</v>
      </c>
      <c r="S119" s="188"/>
      <c r="T119" s="187"/>
      <c r="U119" s="189">
        <f t="shared" si="100"/>
        <v>46.709999999999944</v>
      </c>
      <c r="V119" s="209">
        <f>IF(H118="AFIII",VLOOKUP(D119,Sheet1!$A$4:$H$18,5,FALSE),IF(H118="UBIII",VLOOKUP(D119,Sheet1!$A$4:$H$18,8,FALSE),IF(H118="",VLOOKUP(D119,Sheet1!$A$4:$H$18,2,FALSE),"0")))</f>
        <v>1060</v>
      </c>
      <c r="W119" s="209">
        <f t="shared" si="80"/>
        <v>7033</v>
      </c>
      <c r="X119" s="210">
        <f t="shared" si="81"/>
        <v>7466</v>
      </c>
      <c r="Y119" s="190" t="str">
        <f t="shared" si="82"/>
        <v>SUCCESS</v>
      </c>
      <c r="Z119" s="190" t="str">
        <f t="shared" si="83"/>
        <v>ERROR</v>
      </c>
      <c r="AA119" s="185">
        <f t="shared" si="84"/>
        <v>145.70094325855362</v>
      </c>
    </row>
    <row r="120" spans="1:27">
      <c r="A120" s="112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168</v>
      </c>
      <c r="B120" s="113">
        <f t="shared" si="77"/>
        <v>44098</v>
      </c>
      <c r="C120" s="118">
        <f>C119+G120</f>
        <v>303.89800000000008</v>
      </c>
      <c r="D120" s="181" t="s">
        <v>4</v>
      </c>
      <c r="E120" s="182">
        <f>IF(H119="AFIII",VLOOKUP($D120,Sheet1!$A$34:$K$48,5,FALSE),IF(H119="UBIII",VLOOKUP($D120,Sheet1!$A$34:$K$48,8,FALSE),VLOOKUP($D120,Sheet1!$A$34:$K$48,2,FALSE)))</f>
        <v>1.67</v>
      </c>
      <c r="F120" s="182">
        <f>ROUNDDOWN((IF(H119="AFIII",VLOOKUP($D120,Sheet1!$A$34:$K$48,5,FALSE),IF(H119="UBIII",VLOOKUP($D120,Sheet1!$A$34:$K$48,8,FALSE),VLOOKUP($D120,Sheet1!$A$34:$K$48,2,FALSE))))*0.85,2)</f>
        <v>1.41</v>
      </c>
      <c r="G120" s="182">
        <f t="shared" si="85"/>
        <v>2.39</v>
      </c>
      <c r="H120" s="183" t="s">
        <v>84</v>
      </c>
      <c r="I120" s="182">
        <v>10</v>
      </c>
      <c r="J120" s="183" t="s">
        <v>105</v>
      </c>
      <c r="K120" s="182">
        <v>30</v>
      </c>
      <c r="L120" s="182">
        <v>90</v>
      </c>
      <c r="O120" s="182">
        <f t="shared" si="108"/>
        <v>47.58</v>
      </c>
      <c r="Q120" s="182">
        <f t="shared" ref="Q120:Q126" si="109">Q119-G120</f>
        <v>18.61</v>
      </c>
      <c r="R120" s="182">
        <f t="shared" si="106"/>
        <v>42.69</v>
      </c>
      <c r="U120" s="184">
        <f t="shared" si="100"/>
        <v>44.319999999999943</v>
      </c>
      <c r="V120" s="201">
        <f>IF(H119="AFIII",VLOOKUP(D120,Sheet1!$A$4:$H$18,5,FALSE),IF(H119="UBIII",VLOOKUP(D120,Sheet1!$A$4:$H$18,8,FALSE),IF(H119="",VLOOKUP(D120,Sheet1!$A$4:$H$18,2,FALSE),"0")))</f>
        <v>442</v>
      </c>
      <c r="W120" s="201">
        <f t="shared" si="80"/>
        <v>7033</v>
      </c>
      <c r="X120" s="208">
        <f t="shared" si="81"/>
        <v>10950</v>
      </c>
      <c r="Y120" s="171" t="str">
        <f t="shared" si="82"/>
        <v>SUCCESS</v>
      </c>
      <c r="Z120" s="171" t="str">
        <f t="shared" si="83"/>
        <v>ERROR</v>
      </c>
      <c r="AA120" s="185">
        <f t="shared" si="84"/>
        <v>145.10789804473865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504</v>
      </c>
      <c r="B121" s="113">
        <f t="shared" si="77"/>
        <v>44602</v>
      </c>
      <c r="C121" s="118">
        <f>C120+G121</f>
        <v>306.7580000000001</v>
      </c>
      <c r="D121" s="181" t="s">
        <v>6</v>
      </c>
      <c r="E121" s="182">
        <f>IF(H120="AFIII",VLOOKUP($D121,Sheet1!$A$34:$K$48,5,FALSE),IF(H120="UBIII",VLOOKUP($D121,Sheet1!$A$34:$K$48,8,FALSE),VLOOKUP($D121,Sheet1!$A$34:$K$48,2,FALSE)))</f>
        <v>2.86</v>
      </c>
      <c r="F121" s="182">
        <f>ROUNDDOWN((IF(H120="AFIII",VLOOKUP($D121,Sheet1!$A$34:$K$48,5,FALSE),IF(H120="UBIII",VLOOKUP($D121,Sheet1!$A$34:$K$48,8,FALSE),VLOOKUP($D121,Sheet1!$A$34:$K$48,2,FALSE))))*0.85,2)</f>
        <v>2.4300000000000002</v>
      </c>
      <c r="G121" s="182">
        <f t="shared" si="85"/>
        <v>2.86</v>
      </c>
      <c r="H121" s="183" t="s">
        <v>84</v>
      </c>
      <c r="I121" s="182">
        <f>I120-G121</f>
        <v>7.1400000000000006</v>
      </c>
      <c r="K121" s="182">
        <f>K120-G121</f>
        <v>27.14</v>
      </c>
      <c r="L121" s="182">
        <f>L120-G121</f>
        <v>87.14</v>
      </c>
      <c r="O121" s="182">
        <f t="shared" si="108"/>
        <v>44.72</v>
      </c>
      <c r="Q121" s="182">
        <f t="shared" si="109"/>
        <v>15.75</v>
      </c>
      <c r="R121" s="182">
        <f t="shared" si="106"/>
        <v>39.83</v>
      </c>
      <c r="U121" s="184">
        <f t="shared" si="100"/>
        <v>41.459999999999944</v>
      </c>
      <c r="V121" s="201">
        <f>IF(H120="AFIII",VLOOKUP(D121,Sheet1!$A$4:$H$18,5,FALSE),IF(H120="UBIII",VLOOKUP(D121,Sheet1!$A$4:$H$18,8,FALSE),IF(H120="",VLOOKUP(D121,Sheet1!$A$4:$H$18,2,FALSE),"0")))</f>
        <v>1768</v>
      </c>
      <c r="W121" s="201">
        <f t="shared" si="80"/>
        <v>0</v>
      </c>
      <c r="X121" s="208">
        <f t="shared" si="81"/>
        <v>9182</v>
      </c>
      <c r="Y121" s="171" t="str">
        <f t="shared" si="82"/>
        <v>SUCCESS</v>
      </c>
      <c r="Z121" s="171" t="str">
        <f t="shared" si="83"/>
        <v>SUCCESS</v>
      </c>
      <c r="AA121" s="185">
        <f t="shared" si="84"/>
        <v>145.39800103012794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504</v>
      </c>
      <c r="B122" s="113">
        <f t="shared" si="77"/>
        <v>45106</v>
      </c>
      <c r="C122" s="118">
        <f>C121+G122</f>
        <v>309.61800000000011</v>
      </c>
      <c r="D122" s="181" t="s">
        <v>6</v>
      </c>
      <c r="E122" s="182">
        <f>IF(H121="AFIII",VLOOKUP($D122,Sheet1!$A$34:$K$48,5,FALSE),IF(H121="UBIII",VLOOKUP($D122,Sheet1!$A$34:$K$48,8,FALSE),VLOOKUP($D122,Sheet1!$A$34:$K$48,2,FALSE)))</f>
        <v>2.86</v>
      </c>
      <c r="F122" s="182">
        <f>ROUNDDOWN((IF(H121="AFIII",VLOOKUP($D122,Sheet1!$A$34:$K$48,5,FALSE),IF(H121="UBIII",VLOOKUP($D122,Sheet1!$A$34:$K$48,8,FALSE),VLOOKUP($D122,Sheet1!$A$34:$K$48,2,FALSE))))*0.85,2)</f>
        <v>2.4300000000000002</v>
      </c>
      <c r="G122" s="182">
        <f t="shared" si="85"/>
        <v>2.86</v>
      </c>
      <c r="H122" s="183" t="s">
        <v>84</v>
      </c>
      <c r="I122" s="182">
        <f>I121-G122</f>
        <v>4.2800000000000011</v>
      </c>
      <c r="K122" s="182">
        <f t="shared" ref="K122:K126" si="110">K121-G122</f>
        <v>24.28</v>
      </c>
      <c r="L122" s="182">
        <f t="shared" ref="L122:L154" si="111">L121-G122</f>
        <v>84.28</v>
      </c>
      <c r="O122" s="182">
        <f t="shared" si="108"/>
        <v>41.86</v>
      </c>
      <c r="Q122" s="182">
        <f t="shared" si="109"/>
        <v>12.89</v>
      </c>
      <c r="R122" s="182">
        <f t="shared" si="106"/>
        <v>36.97</v>
      </c>
      <c r="U122" s="184">
        <f t="shared" si="100"/>
        <v>38.599999999999945</v>
      </c>
      <c r="V122" s="201">
        <f>IF(H121="AFIII",VLOOKUP(D122,Sheet1!$A$4:$H$18,5,FALSE),IF(H121="UBIII",VLOOKUP(D122,Sheet1!$A$4:$H$18,8,FALSE),IF(H121="",VLOOKUP(D122,Sheet1!$A$4:$H$18,2,FALSE),"0")))</f>
        <v>1768</v>
      </c>
      <c r="W122" s="201">
        <f t="shared" si="80"/>
        <v>0</v>
      </c>
      <c r="X122" s="208">
        <f t="shared" si="81"/>
        <v>7414</v>
      </c>
      <c r="Y122" s="171" t="str">
        <f t="shared" si="82"/>
        <v>SUCCESS</v>
      </c>
      <c r="Z122" s="171" t="str">
        <f t="shared" si="83"/>
        <v>SUCCESS</v>
      </c>
      <c r="AA122" s="185">
        <f t="shared" si="84"/>
        <v>145.68274454327585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496</v>
      </c>
      <c r="B123" s="113">
        <f t="shared" si="77"/>
        <v>45602</v>
      </c>
      <c r="C123" s="118">
        <f t="shared" ref="C123:C156" si="112">C122+G123</f>
        <v>312.96400000000011</v>
      </c>
      <c r="D123" s="181" t="s">
        <v>128</v>
      </c>
      <c r="E123" s="182">
        <f>IF(H122="AFIII",VLOOKUP($D123,Sheet1!$A$34:$K$48,5,FALSE),IF(H122="UBIII",VLOOKUP($D123,Sheet1!$A$34:$K$48,8,FALSE),VLOOKUP($D123,Sheet1!$A$34:$K$48,2,FALSE)))</f>
        <v>3.3460000000000001</v>
      </c>
      <c r="F123" s="182">
        <f>ROUNDDOWN((IF(H122="AFIII",VLOOKUP($D123,Sheet1!$A$34:$K$48,5,FALSE),IF(H122="UBIII",VLOOKUP($D123,Sheet1!$A$34:$K$48,8,FALSE),VLOOKUP($D123,Sheet1!$A$34:$K$48,2,FALSE))))*0.85,2)</f>
        <v>2.84</v>
      </c>
      <c r="G123" s="182">
        <f t="shared" si="85"/>
        <v>3.3460000000000001</v>
      </c>
      <c r="H123" s="183" t="s">
        <v>84</v>
      </c>
      <c r="I123" s="182">
        <v>10</v>
      </c>
      <c r="K123" s="182">
        <f t="shared" si="110"/>
        <v>20.934000000000001</v>
      </c>
      <c r="L123" s="182">
        <f t="shared" si="111"/>
        <v>80.933999999999997</v>
      </c>
      <c r="O123" s="182">
        <f t="shared" si="108"/>
        <v>38.513999999999996</v>
      </c>
      <c r="Q123" s="182">
        <f t="shared" si="109"/>
        <v>9.5440000000000005</v>
      </c>
      <c r="R123" s="182">
        <f t="shared" si="106"/>
        <v>33.623999999999995</v>
      </c>
      <c r="U123" s="184">
        <f t="shared" si="100"/>
        <v>35.253999999999948</v>
      </c>
      <c r="V123" s="201">
        <f>IF(H122="AFIII",VLOOKUP(D123,Sheet1!$A$4:$H$18,5,FALSE),IF(H122="UBIII",VLOOKUP(D123,Sheet1!$A$4:$H$18,8,FALSE),IF(H122="",VLOOKUP(D123,Sheet1!$A$4:$H$18,2,FALSE),"0")))</f>
        <v>2120</v>
      </c>
      <c r="W123" s="201">
        <f t="shared" si="80"/>
        <v>0</v>
      </c>
      <c r="X123" s="208">
        <f t="shared" si="81"/>
        <v>5294</v>
      </c>
      <c r="Y123" s="171" t="str">
        <f t="shared" si="82"/>
        <v>SUCCESS</v>
      </c>
      <c r="Z123" s="171" t="str">
        <f t="shared" si="83"/>
        <v>SUCCESS</v>
      </c>
      <c r="AA123" s="185">
        <f t="shared" si="84"/>
        <v>145.7100497181784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504</v>
      </c>
      <c r="B124" s="113">
        <f t="shared" si="77"/>
        <v>46106</v>
      </c>
      <c r="C124" s="118">
        <f t="shared" si="112"/>
        <v>315.82400000000013</v>
      </c>
      <c r="D124" s="181" t="s">
        <v>6</v>
      </c>
      <c r="E124" s="182">
        <f>IF(H123="AFIII",VLOOKUP($D124,Sheet1!$A$34:$K$48,5,FALSE),IF(H123="UBIII",VLOOKUP($D124,Sheet1!$A$34:$K$48,8,FALSE),VLOOKUP($D124,Sheet1!$A$34:$K$48,2,FALSE)))</f>
        <v>2.86</v>
      </c>
      <c r="F124" s="182">
        <f>ROUNDDOWN((IF(H123="AFIII",VLOOKUP($D124,Sheet1!$A$34:$K$48,5,FALSE),IF(H123="UBIII",VLOOKUP($D124,Sheet1!$A$34:$K$48,8,FALSE),VLOOKUP($D124,Sheet1!$A$34:$K$48,2,FALSE))))*0.85,2)</f>
        <v>2.4300000000000002</v>
      </c>
      <c r="G124" s="182">
        <f t="shared" si="85"/>
        <v>2.86</v>
      </c>
      <c r="H124" s="183" t="s">
        <v>84</v>
      </c>
      <c r="I124" s="182">
        <f>I123-G124</f>
        <v>7.1400000000000006</v>
      </c>
      <c r="K124" s="182">
        <f t="shared" si="110"/>
        <v>18.074000000000002</v>
      </c>
      <c r="L124" s="182">
        <f t="shared" si="111"/>
        <v>78.073999999999998</v>
      </c>
      <c r="O124" s="182">
        <f t="shared" si="108"/>
        <v>35.653999999999996</v>
      </c>
      <c r="Q124" s="182">
        <f t="shared" si="109"/>
        <v>6.6840000000000011</v>
      </c>
      <c r="R124" s="182">
        <f t="shared" si="106"/>
        <v>30.763999999999996</v>
      </c>
      <c r="U124" s="184">
        <f t="shared" si="100"/>
        <v>32.393999999999949</v>
      </c>
      <c r="V124" s="201">
        <f>IF(H123="AFIII",VLOOKUP(D124,Sheet1!$A$4:$H$18,5,FALSE),IF(H123="UBIII",VLOOKUP(D124,Sheet1!$A$4:$H$18,8,FALSE),IF(H123="",VLOOKUP(D124,Sheet1!$A$4:$H$18,2,FALSE),"0")))</f>
        <v>1768</v>
      </c>
      <c r="W124" s="201">
        <f t="shared" si="80"/>
        <v>0</v>
      </c>
      <c r="X124" s="208">
        <f t="shared" si="81"/>
        <v>3526</v>
      </c>
      <c r="Y124" s="171" t="str">
        <f t="shared" si="82"/>
        <v>SUCCESS</v>
      </c>
      <c r="Z124" s="171" t="str">
        <f t="shared" si="83"/>
        <v>SUCCESS</v>
      </c>
      <c r="AA124" s="185">
        <f t="shared" si="84"/>
        <v>145.98637215664414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504</v>
      </c>
      <c r="B125" s="113">
        <f t="shared" si="77"/>
        <v>46610</v>
      </c>
      <c r="C125" s="118">
        <f t="shared" si="112"/>
        <v>318.68400000000014</v>
      </c>
      <c r="D125" s="181" t="s">
        <v>6</v>
      </c>
      <c r="E125" s="182">
        <f>IF(H124="AFIII",VLOOKUP($D125,Sheet1!$A$34:$K$48,5,FALSE),IF(H124="UBIII",VLOOKUP($D125,Sheet1!$A$34:$K$48,8,FALSE),VLOOKUP($D125,Sheet1!$A$34:$K$48,2,FALSE)))</f>
        <v>2.86</v>
      </c>
      <c r="F125" s="182">
        <f>ROUNDDOWN((IF(H124="AFIII",VLOOKUP($D125,Sheet1!$A$34:$K$48,5,FALSE),IF(H124="UBIII",VLOOKUP($D125,Sheet1!$A$34:$K$48,8,FALSE),VLOOKUP($D125,Sheet1!$A$34:$K$48,2,FALSE))))*0.85,2)</f>
        <v>2.4300000000000002</v>
      </c>
      <c r="G125" s="182">
        <f t="shared" si="85"/>
        <v>2.86</v>
      </c>
      <c r="H125" s="183" t="s">
        <v>84</v>
      </c>
      <c r="I125" s="182">
        <f>I124-G125</f>
        <v>4.2800000000000011</v>
      </c>
      <c r="K125" s="182">
        <f t="shared" si="110"/>
        <v>15.214000000000002</v>
      </c>
      <c r="L125" s="182">
        <f t="shared" si="111"/>
        <v>75.213999999999999</v>
      </c>
      <c r="O125" s="182">
        <f t="shared" si="108"/>
        <v>32.793999999999997</v>
      </c>
      <c r="Q125" s="182">
        <f t="shared" si="109"/>
        <v>3.8240000000000012</v>
      </c>
      <c r="R125" s="182">
        <f t="shared" si="106"/>
        <v>27.903999999999996</v>
      </c>
      <c r="U125" s="184">
        <f t="shared" si="100"/>
        <v>29.533999999999949</v>
      </c>
      <c r="V125" s="201">
        <f>IF(H124="AFIII",VLOOKUP(D125,Sheet1!$A$4:$H$18,5,FALSE),IF(H124="UBIII",VLOOKUP(D125,Sheet1!$A$4:$H$18,8,FALSE),IF(H124="",VLOOKUP(D125,Sheet1!$A$4:$H$18,2,FALSE),"0")))</f>
        <v>1768</v>
      </c>
      <c r="W125" s="201">
        <f t="shared" si="80"/>
        <v>0</v>
      </c>
      <c r="X125" s="208">
        <f t="shared" si="81"/>
        <v>1758</v>
      </c>
      <c r="Y125" s="171" t="str">
        <f t="shared" si="82"/>
        <v>SUCCESS</v>
      </c>
      <c r="Z125" s="171" t="str">
        <f t="shared" si="83"/>
        <v>SUCCESS</v>
      </c>
      <c r="AA125" s="185">
        <f t="shared" si="84"/>
        <v>146.2577349349198</v>
      </c>
    </row>
    <row r="126" spans="1:27">
      <c r="A126" s="112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168</v>
      </c>
      <c r="B126" s="113">
        <f t="shared" si="77"/>
        <v>46778</v>
      </c>
      <c r="C126" s="118">
        <f t="shared" si="112"/>
        <v>321.07400000000013</v>
      </c>
      <c r="D126" s="181" t="s">
        <v>12</v>
      </c>
      <c r="E126" s="182">
        <f>IF(H125="AFIII",VLOOKUP($D126,Sheet1!$A$34:$K$48,5,FALSE),IF(H125="UBIII",VLOOKUP($D126,Sheet1!$A$34:$K$48,8,FALSE),VLOOKUP($D126,Sheet1!$A$34:$K$48,2,FALSE)))</f>
        <v>1.67</v>
      </c>
      <c r="F126" s="182">
        <f>ROUNDDOWN((IF(H125="AFIII",VLOOKUP($D126,Sheet1!$A$34:$K$48,5,FALSE),IF(H125="UBIII",VLOOKUP($D126,Sheet1!$A$34:$K$48,8,FALSE),VLOOKUP($D126,Sheet1!$A$34:$K$48,2,FALSE))))*0.85,2)</f>
        <v>1.41</v>
      </c>
      <c r="G126" s="182">
        <f t="shared" si="85"/>
        <v>2.39</v>
      </c>
      <c r="H126" s="183" t="s">
        <v>122</v>
      </c>
      <c r="I126" s="182">
        <v>10</v>
      </c>
      <c r="K126" s="182">
        <f t="shared" si="110"/>
        <v>12.824000000000002</v>
      </c>
      <c r="L126" s="182">
        <f t="shared" si="111"/>
        <v>72.823999999999998</v>
      </c>
      <c r="O126" s="182">
        <f t="shared" si="108"/>
        <v>30.403999999999996</v>
      </c>
      <c r="Q126" s="182">
        <f t="shared" si="109"/>
        <v>1.4340000000000011</v>
      </c>
      <c r="R126" s="182">
        <f t="shared" si="106"/>
        <v>25.513999999999996</v>
      </c>
      <c r="U126" s="184">
        <f t="shared" si="100"/>
        <v>27.143999999999949</v>
      </c>
      <c r="V126" s="201">
        <f>IF(H125="AFIII",VLOOKUP(D126,Sheet1!$A$4:$H$18,5,FALSE),IF(H125="UBIII",VLOOKUP(D126,Sheet1!$A$4:$H$18,8,FALSE),IF(H125="",VLOOKUP(D126,Sheet1!$A$4:$H$18,2,FALSE),"0")))</f>
        <v>265</v>
      </c>
      <c r="W126" s="201">
        <f t="shared" si="80"/>
        <v>0</v>
      </c>
      <c r="X126" s="208">
        <f t="shared" si="81"/>
        <v>1493</v>
      </c>
      <c r="Y126" s="171" t="str">
        <f t="shared" si="82"/>
        <v>SUCCESS</v>
      </c>
      <c r="Z126" s="171" t="str">
        <f t="shared" si="83"/>
        <v>SUCCESS</v>
      </c>
      <c r="AA126" s="185">
        <f t="shared" si="84"/>
        <v>145.69227031774599</v>
      </c>
    </row>
    <row r="127" spans="1:27">
      <c r="A127" s="119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280</v>
      </c>
      <c r="B127" s="120">
        <f t="shared" si="77"/>
        <v>47058</v>
      </c>
      <c r="C127" s="121">
        <f t="shared" si="112"/>
        <v>323.93400000000014</v>
      </c>
      <c r="D127" s="191" t="s">
        <v>14</v>
      </c>
      <c r="E127" s="192">
        <f>IF(H126="AFIII",VLOOKUP($D127,Sheet1!$A$34:$K$48,5,FALSE),IF(H126="UBIII",VLOOKUP($D127,Sheet1!$A$34:$K$48,8,FALSE),VLOOKUP($D127,Sheet1!$A$34:$K$48,2,FALSE)))</f>
        <v>2.86</v>
      </c>
      <c r="F127" s="192">
        <f>ROUNDDOWN((IF(H126="AFIII",VLOOKUP($D127,Sheet1!$A$34:$K$48,5,FALSE),IF(H126="UBIII",VLOOKUP($D127,Sheet1!$A$34:$K$48,8,FALSE),VLOOKUP($D127,Sheet1!$A$34:$K$48,2,FALSE))))*0.85,2)</f>
        <v>2.4300000000000002</v>
      </c>
      <c r="G127" s="192">
        <f t="shared" si="85"/>
        <v>2.86</v>
      </c>
      <c r="H127" s="193" t="s">
        <v>122</v>
      </c>
      <c r="I127" s="192">
        <f>I126-G127</f>
        <v>7.1400000000000006</v>
      </c>
      <c r="J127" s="193"/>
      <c r="K127" s="192">
        <v>25</v>
      </c>
      <c r="L127" s="192">
        <f t="shared" si="111"/>
        <v>69.963999999999999</v>
      </c>
      <c r="M127" s="193"/>
      <c r="N127" s="192"/>
      <c r="O127" s="192">
        <f t="shared" si="108"/>
        <v>27.543999999999997</v>
      </c>
      <c r="P127" s="193"/>
      <c r="Q127" s="192">
        <f>Q126-G127</f>
        <v>-1.4259999999999988</v>
      </c>
      <c r="R127" s="192">
        <f t="shared" si="106"/>
        <v>22.653999999999996</v>
      </c>
      <c r="S127" s="193"/>
      <c r="T127" s="192"/>
      <c r="U127" s="194">
        <f t="shared" si="100"/>
        <v>24.283999999999949</v>
      </c>
      <c r="V127" s="211">
        <f>IF(H126="AFIII",VLOOKUP(D127,Sheet1!$A$4:$H$18,5,FALSE),IF(H126="UBIII",VLOOKUP(D127,Sheet1!$A$4:$H$18,8,FALSE),IF(H126="",VLOOKUP(D127,Sheet1!$A$4:$H$18,2,FALSE),"0")))</f>
        <v>884</v>
      </c>
      <c r="W127" s="211">
        <f t="shared" si="80"/>
        <v>7033</v>
      </c>
      <c r="X127" s="212">
        <f t="shared" si="81"/>
        <v>7642</v>
      </c>
      <c r="Y127" s="195" t="str">
        <f t="shared" si="82"/>
        <v>SUCCESS</v>
      </c>
      <c r="Z127" s="195" t="str">
        <f t="shared" si="83"/>
        <v>SUCCESS</v>
      </c>
      <c r="AA127" s="185">
        <f t="shared" si="84"/>
        <v>145.27033284557959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168</v>
      </c>
      <c r="B128" s="113">
        <f t="shared" si="77"/>
        <v>47226</v>
      </c>
      <c r="C128" s="118">
        <f t="shared" si="112"/>
        <v>326.32400000000013</v>
      </c>
      <c r="D128" s="181" t="s">
        <v>4</v>
      </c>
      <c r="E128" s="182">
        <f>IF(H127="AFIII",VLOOKUP($D128,Sheet1!$A$34:$K$48,5,FALSE),IF(H127="UBIII",VLOOKUP($D128,Sheet1!$A$34:$K$48,8,FALSE),VLOOKUP($D128,Sheet1!$A$34:$K$48,2,FALSE)))</f>
        <v>1.67</v>
      </c>
      <c r="F128" s="182">
        <f>ROUNDDOWN((IF(H127="AFIII",VLOOKUP($D128,Sheet1!$A$34:$K$48,5,FALSE),IF(H127="UBIII",VLOOKUP($D128,Sheet1!$A$34:$K$48,8,FALSE),VLOOKUP($D128,Sheet1!$A$34:$K$48,2,FALSE))))*0.85,2)</f>
        <v>1.41</v>
      </c>
      <c r="G128" s="182">
        <f t="shared" si="85"/>
        <v>2.39</v>
      </c>
      <c r="H128" s="183" t="s">
        <v>84</v>
      </c>
      <c r="I128" s="182">
        <v>10</v>
      </c>
      <c r="K128" s="182">
        <f t="shared" ref="K128:K131" si="113">K127-G128</f>
        <v>22.61</v>
      </c>
      <c r="L128" s="182">
        <f t="shared" si="111"/>
        <v>67.573999999999998</v>
      </c>
      <c r="O128" s="182">
        <f t="shared" si="108"/>
        <v>25.153999999999996</v>
      </c>
      <c r="Q128" s="182">
        <f t="shared" ref="Q128" si="114">Q127-G128</f>
        <v>-3.8159999999999989</v>
      </c>
      <c r="R128" s="182">
        <f t="shared" si="106"/>
        <v>20.263999999999996</v>
      </c>
      <c r="U128" s="184">
        <f t="shared" si="100"/>
        <v>21.893999999999949</v>
      </c>
      <c r="V128" s="201">
        <f>IF(H127="AFIII",VLOOKUP(D128,Sheet1!$A$4:$H$18,5,FALSE),IF(H127="UBIII",VLOOKUP(D128,Sheet1!$A$4:$H$18,8,FALSE),IF(H127="",VLOOKUP(D128,Sheet1!$A$4:$H$18,2,FALSE),"0")))</f>
        <v>442</v>
      </c>
      <c r="W128" s="201">
        <f t="shared" si="80"/>
        <v>7033</v>
      </c>
      <c r="X128" s="208">
        <f t="shared" si="81"/>
        <v>10950</v>
      </c>
      <c r="Y128" s="171" t="str">
        <f t="shared" si="82"/>
        <v>SUCCESS</v>
      </c>
      <c r="Z128" s="171" t="str">
        <f t="shared" si="83"/>
        <v>SUCCESS</v>
      </c>
      <c r="AA128" s="185">
        <f t="shared" si="84"/>
        <v>144.72119733761531</v>
      </c>
    </row>
    <row r="129" spans="1:27">
      <c r="A129" s="11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504</v>
      </c>
      <c r="B129" s="113">
        <f t="shared" si="77"/>
        <v>47730</v>
      </c>
      <c r="C129" s="118">
        <f t="shared" si="112"/>
        <v>329.18400000000014</v>
      </c>
      <c r="D129" s="181" t="s">
        <v>6</v>
      </c>
      <c r="E129" s="182">
        <f>IF(H128="AFIII",VLOOKUP($D129,Sheet1!$A$34:$K$48,5,FALSE),IF(H128="UBIII",VLOOKUP($D129,Sheet1!$A$34:$K$48,8,FALSE),VLOOKUP($D129,Sheet1!$A$34:$K$48,2,FALSE)))</f>
        <v>2.86</v>
      </c>
      <c r="F129" s="182">
        <f>ROUNDDOWN((IF(H128="AFIII",VLOOKUP($D129,Sheet1!$A$34:$K$48,5,FALSE),IF(H128="UBIII",VLOOKUP($D129,Sheet1!$A$34:$K$48,8,FALSE),VLOOKUP($D129,Sheet1!$A$34:$K$48,2,FALSE))))*0.85,2)</f>
        <v>2.4300000000000002</v>
      </c>
      <c r="G129" s="182">
        <f t="shared" si="85"/>
        <v>2.86</v>
      </c>
      <c r="H129" s="183" t="s">
        <v>84</v>
      </c>
      <c r="I129" s="182">
        <f>I128-G129</f>
        <v>7.1400000000000006</v>
      </c>
      <c r="K129" s="182">
        <f t="shared" si="113"/>
        <v>19.75</v>
      </c>
      <c r="L129" s="182">
        <f t="shared" si="111"/>
        <v>64.713999999999999</v>
      </c>
      <c r="O129" s="182">
        <f t="shared" si="108"/>
        <v>22.293999999999997</v>
      </c>
      <c r="R129" s="182">
        <f t="shared" si="106"/>
        <v>17.403999999999996</v>
      </c>
      <c r="U129" s="184">
        <f t="shared" si="100"/>
        <v>19.033999999999949</v>
      </c>
      <c r="V129" s="201">
        <f>IF(H128="AFIII",VLOOKUP(D129,Sheet1!$A$4:$H$18,5,FALSE),IF(H128="UBIII",VLOOKUP(D129,Sheet1!$A$4:$H$18,8,FALSE),IF(H128="",VLOOKUP(D129,Sheet1!$A$4:$H$18,2,FALSE),"0")))</f>
        <v>1768</v>
      </c>
      <c r="W129" s="201">
        <f t="shared" si="80"/>
        <v>0</v>
      </c>
      <c r="X129" s="208">
        <f t="shared" si="81"/>
        <v>9182</v>
      </c>
      <c r="Y129" s="171" t="str">
        <f t="shared" si="82"/>
        <v>SUCCESS</v>
      </c>
      <c r="Z129" s="171" t="str">
        <f t="shared" si="83"/>
        <v>SUCCESS</v>
      </c>
      <c r="AA129" s="185">
        <f t="shared" si="84"/>
        <v>144.99489647127436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504</v>
      </c>
      <c r="B130" s="113">
        <f t="shared" si="77"/>
        <v>48234</v>
      </c>
      <c r="C130" s="118">
        <f t="shared" si="112"/>
        <v>332.04400000000015</v>
      </c>
      <c r="D130" s="181" t="s">
        <v>6</v>
      </c>
      <c r="E130" s="182">
        <f>IF(H129="AFIII",VLOOKUP($D130,Sheet1!$A$34:$K$48,5,FALSE),IF(H129="UBIII",VLOOKUP($D130,Sheet1!$A$34:$K$48,8,FALSE),VLOOKUP($D130,Sheet1!$A$34:$K$48,2,FALSE)))</f>
        <v>2.86</v>
      </c>
      <c r="F130" s="182">
        <f>ROUNDDOWN((IF(H129="AFIII",VLOOKUP($D130,Sheet1!$A$34:$K$48,5,FALSE),IF(H129="UBIII",VLOOKUP($D130,Sheet1!$A$34:$K$48,8,FALSE),VLOOKUP($D130,Sheet1!$A$34:$K$48,2,FALSE))))*0.85,2)</f>
        <v>2.4300000000000002</v>
      </c>
      <c r="G130" s="182">
        <f t="shared" si="85"/>
        <v>2.86</v>
      </c>
      <c r="H130" s="183" t="s">
        <v>84</v>
      </c>
      <c r="I130" s="182">
        <f t="shared" ref="I130" si="115">I129-G130</f>
        <v>4.2800000000000011</v>
      </c>
      <c r="K130" s="182">
        <f t="shared" si="113"/>
        <v>16.89</v>
      </c>
      <c r="L130" s="182">
        <f t="shared" si="111"/>
        <v>61.853999999999999</v>
      </c>
      <c r="O130" s="182">
        <f t="shared" si="108"/>
        <v>19.433999999999997</v>
      </c>
      <c r="R130" s="182">
        <f t="shared" si="106"/>
        <v>14.543999999999997</v>
      </c>
      <c r="U130" s="184">
        <f t="shared" si="100"/>
        <v>16.17399999999995</v>
      </c>
      <c r="V130" s="201">
        <f>IF(H129="AFIII",VLOOKUP(D130,Sheet1!$A$4:$H$18,5,FALSE),IF(H129="UBIII",VLOOKUP(D130,Sheet1!$A$4:$H$18,8,FALSE),IF(H129="",VLOOKUP(D130,Sheet1!$A$4:$H$18,2,FALSE),"0")))</f>
        <v>1768</v>
      </c>
      <c r="W130" s="201">
        <f t="shared" si="80"/>
        <v>0</v>
      </c>
      <c r="X130" s="208">
        <f t="shared" si="81"/>
        <v>7414</v>
      </c>
      <c r="Y130" s="171" t="str">
        <f t="shared" si="82"/>
        <v>SUCCESS</v>
      </c>
      <c r="Z130" s="171" t="str">
        <f t="shared" si="83"/>
        <v>SUCCESS</v>
      </c>
      <c r="AA130" s="185">
        <f t="shared" si="84"/>
        <v>145.26388069051083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496</v>
      </c>
      <c r="B131" s="113">
        <f t="shared" si="77"/>
        <v>48730</v>
      </c>
      <c r="C131" s="118">
        <f t="shared" si="112"/>
        <v>335.39000000000016</v>
      </c>
      <c r="D131" s="181" t="s">
        <v>128</v>
      </c>
      <c r="E131" s="182">
        <f>IF(H130="AFIII",VLOOKUP($D131,Sheet1!$A$34:$K$48,5,FALSE),IF(H130="UBIII",VLOOKUP($D131,Sheet1!$A$34:$K$48,8,FALSE),VLOOKUP($D131,Sheet1!$A$34:$K$48,2,FALSE)))</f>
        <v>3.3460000000000001</v>
      </c>
      <c r="F131" s="182">
        <f>ROUNDDOWN((IF(H130="AFIII",VLOOKUP($D131,Sheet1!$A$34:$K$48,5,FALSE),IF(H130="UBIII",VLOOKUP($D131,Sheet1!$A$34:$K$48,8,FALSE),VLOOKUP($D131,Sheet1!$A$34:$K$48,2,FALSE))))*0.85,2)</f>
        <v>2.84</v>
      </c>
      <c r="G131" s="182">
        <f t="shared" si="85"/>
        <v>3.3460000000000001</v>
      </c>
      <c r="H131" s="183" t="s">
        <v>84</v>
      </c>
      <c r="I131" s="182">
        <v>10</v>
      </c>
      <c r="K131" s="182">
        <f t="shared" si="113"/>
        <v>13.544</v>
      </c>
      <c r="L131" s="182">
        <f t="shared" si="111"/>
        <v>58.507999999999996</v>
      </c>
      <c r="O131" s="182">
        <f>O130-G131</f>
        <v>16.087999999999997</v>
      </c>
      <c r="R131" s="182">
        <f t="shared" si="106"/>
        <v>11.197999999999997</v>
      </c>
      <c r="U131" s="184">
        <f t="shared" si="100"/>
        <v>12.82799999999995</v>
      </c>
      <c r="V131" s="201">
        <f>IF(H130="AFIII",VLOOKUP(D131,Sheet1!$A$4:$H$18,5,FALSE),IF(H130="UBIII",VLOOKUP(D131,Sheet1!$A$4:$H$18,8,FALSE),IF(H130="",VLOOKUP(D131,Sheet1!$A$4:$H$18,2,FALSE),"0")))</f>
        <v>2120</v>
      </c>
      <c r="W131" s="201">
        <f t="shared" si="80"/>
        <v>0</v>
      </c>
      <c r="X131" s="208">
        <f t="shared" si="81"/>
        <v>5294</v>
      </c>
      <c r="Y131" s="171" t="str">
        <f t="shared" si="82"/>
        <v>SUCCESS</v>
      </c>
      <c r="Z131" s="171" t="str">
        <f t="shared" si="83"/>
        <v>SUCCESS</v>
      </c>
      <c r="AA131" s="185">
        <f t="shared" si="84"/>
        <v>145.29353886520164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77"/>
        <v>49234</v>
      </c>
      <c r="C132" s="118">
        <f t="shared" si="112"/>
        <v>338.25000000000017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85"/>
        <v>2.86</v>
      </c>
      <c r="H132" s="183" t="s">
        <v>84</v>
      </c>
      <c r="I132" s="182">
        <f t="shared" ref="I132:I133" si="116">I131-G132</f>
        <v>7.1400000000000006</v>
      </c>
      <c r="K132" s="182">
        <f>K131-G132</f>
        <v>10.684000000000001</v>
      </c>
      <c r="L132" s="182">
        <f t="shared" si="111"/>
        <v>55.647999999999996</v>
      </c>
      <c r="O132" s="182">
        <f t="shared" ref="O132:O138" si="117">O131-G132</f>
        <v>13.227999999999998</v>
      </c>
      <c r="R132" s="182">
        <f t="shared" si="106"/>
        <v>8.3379999999999974</v>
      </c>
      <c r="U132" s="184">
        <f t="shared" si="100"/>
        <v>9.9679999999999502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80"/>
        <v>0</v>
      </c>
      <c r="X132" s="208">
        <f t="shared" si="81"/>
        <v>3526</v>
      </c>
      <c r="Y132" s="171" t="str">
        <f t="shared" si="82"/>
        <v>SUCCESS</v>
      </c>
      <c r="Z132" s="171" t="str">
        <f t="shared" si="83"/>
        <v>SUCCESS</v>
      </c>
      <c r="AA132" s="185">
        <f t="shared" si="84"/>
        <v>145.55506282335543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504</v>
      </c>
      <c r="B133" s="113">
        <f t="shared" si="77"/>
        <v>49738</v>
      </c>
      <c r="C133" s="118">
        <f t="shared" si="112"/>
        <v>341.11000000000018</v>
      </c>
      <c r="D133" s="181" t="s">
        <v>6</v>
      </c>
      <c r="E133" s="182">
        <f>IF(H132="AFIII",VLOOKUP($D133,Sheet1!$A$34:$K$48,5,FALSE),IF(H132="UBIII",VLOOKUP($D133,Sheet1!$A$34:$K$48,8,FALSE),VLOOKUP($D133,Sheet1!$A$34:$K$48,2,FALSE)))</f>
        <v>2.86</v>
      </c>
      <c r="F133" s="182">
        <f>ROUNDDOWN((IF(H132="AFIII",VLOOKUP($D133,Sheet1!$A$34:$K$48,5,FALSE),IF(H132="UBIII",VLOOKUP($D133,Sheet1!$A$34:$K$48,8,FALSE),VLOOKUP($D133,Sheet1!$A$34:$K$48,2,FALSE))))*0.85,2)</f>
        <v>2.4300000000000002</v>
      </c>
      <c r="G133" s="182">
        <f>IF(M132="迅速",IF(S132="黒魔紋",$F$1,$E$1),IF(S132="黒魔紋",IF(F133&lt;$F$1,$F$1,F133),IF(E133&lt;$E$1,$E$1,E133)))</f>
        <v>2.86</v>
      </c>
      <c r="H133" s="183" t="s">
        <v>84</v>
      </c>
      <c r="I133" s="182">
        <f t="shared" si="116"/>
        <v>4.2800000000000011</v>
      </c>
      <c r="K133" s="182">
        <f t="shared" ref="K133:K134" si="118">K132-G133</f>
        <v>7.8240000000000016</v>
      </c>
      <c r="L133" s="182">
        <f t="shared" si="111"/>
        <v>52.787999999999997</v>
      </c>
      <c r="O133" s="182">
        <f t="shared" si="117"/>
        <v>10.367999999999999</v>
      </c>
      <c r="R133" s="182">
        <f t="shared" si="106"/>
        <v>5.477999999999998</v>
      </c>
      <c r="U133" s="184">
        <f t="shared" si="100"/>
        <v>7.1079999999999508</v>
      </c>
      <c r="V133" s="201">
        <f>IF(H132="AFIII",VLOOKUP(D133,Sheet1!$A$4:$H$18,5,FALSE),IF(H132="UBIII",VLOOKUP(D133,Sheet1!$A$4:$H$18,8,FALSE),IF(H132="",VLOOKUP(D133,Sheet1!$A$4:$H$18,2,FALSE),"0")))</f>
        <v>1768</v>
      </c>
      <c r="W133" s="201">
        <f t="shared" si="80"/>
        <v>0</v>
      </c>
      <c r="X133" s="208">
        <f t="shared" si="81"/>
        <v>1758</v>
      </c>
      <c r="Y133" s="171" t="str">
        <f t="shared" si="82"/>
        <v>SUCCESS</v>
      </c>
      <c r="Z133" s="171" t="str">
        <f t="shared" si="83"/>
        <v>SUCCESS</v>
      </c>
      <c r="AA133" s="185">
        <f t="shared" si="84"/>
        <v>145.81220134267531</v>
      </c>
    </row>
    <row r="134" spans="1:27">
      <c r="A134" s="11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168</v>
      </c>
      <c r="B134" s="113">
        <f t="shared" si="77"/>
        <v>49906</v>
      </c>
      <c r="C134" s="118">
        <f t="shared" si="112"/>
        <v>343.50000000000017</v>
      </c>
      <c r="D134" s="181" t="s">
        <v>12</v>
      </c>
      <c r="E134" s="182">
        <f>IF(H133="AFIII",VLOOKUP($D134,Sheet1!$A$34:$K$48,5,FALSE),IF(H133="UBIII",VLOOKUP($D134,Sheet1!$A$34:$K$48,8,FALSE),VLOOKUP($D134,Sheet1!$A$34:$K$48,2,FALSE)))</f>
        <v>1.67</v>
      </c>
      <c r="F134" s="182">
        <f>ROUNDDOWN((IF(H133="AFIII",VLOOKUP($D134,Sheet1!$A$34:$K$48,5,FALSE),IF(H133="UBIII",VLOOKUP($D134,Sheet1!$A$34:$K$48,8,FALSE),VLOOKUP($D134,Sheet1!$A$34:$K$48,2,FALSE))))*0.85,2)</f>
        <v>1.41</v>
      </c>
      <c r="G134" s="182">
        <f t="shared" ref="G134:G149" si="119">IF(M133="迅速",IF(S133="黒魔紋",$F$1,$E$1),IF(S133="黒魔紋",IF(F134&lt;$F$1,$F$1,F134),IF(E134&lt;$E$1,$E$1,E134)))</f>
        <v>2.39</v>
      </c>
      <c r="H134" s="183" t="s">
        <v>122</v>
      </c>
      <c r="I134" s="182">
        <v>10</v>
      </c>
      <c r="K134" s="182">
        <f t="shared" si="118"/>
        <v>5.4340000000000011</v>
      </c>
      <c r="L134" s="182">
        <f t="shared" si="111"/>
        <v>50.397999999999996</v>
      </c>
      <c r="O134" s="182">
        <f t="shared" si="117"/>
        <v>7.977999999999998</v>
      </c>
      <c r="R134" s="182">
        <f t="shared" si="106"/>
        <v>3.0879999999999979</v>
      </c>
      <c r="U134" s="184">
        <f t="shared" si="100"/>
        <v>4.7179999999999502</v>
      </c>
      <c r="V134" s="201">
        <f>IF(H133="AFIII",VLOOKUP(D134,Sheet1!$A$4:$H$18,5,FALSE),IF(H133="UBIII",VLOOKUP(D134,Sheet1!$A$4:$H$18,8,FALSE),IF(H133="",VLOOKUP(D134,Sheet1!$A$4:$H$18,2,FALSE),"0")))</f>
        <v>265</v>
      </c>
      <c r="W134" s="201">
        <f t="shared" si="80"/>
        <v>0</v>
      </c>
      <c r="X134" s="208">
        <f t="shared" si="81"/>
        <v>1493</v>
      </c>
      <c r="Y134" s="171" t="str">
        <f t="shared" si="82"/>
        <v>SUCCESS</v>
      </c>
      <c r="Z134" s="171" t="str">
        <f t="shared" si="83"/>
        <v>SUCCESS</v>
      </c>
      <c r="AA134" s="185">
        <f t="shared" si="84"/>
        <v>145.28675400291112</v>
      </c>
    </row>
    <row r="135" spans="1:27">
      <c r="A135" s="119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280</v>
      </c>
      <c r="B135" s="120">
        <f t="shared" si="77"/>
        <v>50186</v>
      </c>
      <c r="C135" s="121">
        <f t="shared" si="112"/>
        <v>346.36000000000018</v>
      </c>
      <c r="D135" s="191" t="s">
        <v>14</v>
      </c>
      <c r="E135" s="192">
        <f>IF(H134="AFIII",VLOOKUP($D135,Sheet1!$A$34:$K$48,5,FALSE),IF(H134="UBIII",VLOOKUP($D135,Sheet1!$A$34:$K$48,8,FALSE),VLOOKUP($D135,Sheet1!$A$34:$K$48,2,FALSE)))</f>
        <v>2.86</v>
      </c>
      <c r="F135" s="192">
        <f>ROUNDDOWN((IF(H134="AFIII",VLOOKUP($D135,Sheet1!$A$34:$K$48,5,FALSE),IF(H134="UBIII",VLOOKUP($D135,Sheet1!$A$34:$K$48,8,FALSE),VLOOKUP($D135,Sheet1!$A$34:$K$48,2,FALSE))))*0.85,2)</f>
        <v>2.4300000000000002</v>
      </c>
      <c r="G135" s="192">
        <f t="shared" si="119"/>
        <v>2.86</v>
      </c>
      <c r="H135" s="193" t="s">
        <v>122</v>
      </c>
      <c r="I135" s="192">
        <f t="shared" ref="I135" si="120">I134-G135</f>
        <v>7.1400000000000006</v>
      </c>
      <c r="J135" s="193"/>
      <c r="K135" s="192">
        <v>20</v>
      </c>
      <c r="L135" s="192">
        <f t="shared" si="111"/>
        <v>47.537999999999997</v>
      </c>
      <c r="M135" s="193"/>
      <c r="N135" s="192"/>
      <c r="O135" s="192">
        <f t="shared" si="117"/>
        <v>5.1179999999999986</v>
      </c>
      <c r="P135" s="193" t="s">
        <v>227</v>
      </c>
      <c r="Q135" s="192"/>
      <c r="R135" s="192">
        <f t="shared" si="106"/>
        <v>0.22799999999999798</v>
      </c>
      <c r="S135" s="193"/>
      <c r="T135" s="192"/>
      <c r="U135" s="194">
        <f t="shared" si="100"/>
        <v>1.8579999999999504</v>
      </c>
      <c r="V135" s="211">
        <f>IF(H134="AFIII",VLOOKUP(D135,Sheet1!$A$4:$H$18,5,FALSE),IF(H134="UBIII",VLOOKUP(D135,Sheet1!$A$4:$H$18,8,FALSE),IF(H134="",VLOOKUP(D135,Sheet1!$A$4:$H$18,2,FALSE),"0")))</f>
        <v>884</v>
      </c>
      <c r="W135" s="211">
        <f t="shared" si="80"/>
        <v>7033</v>
      </c>
      <c r="X135" s="212">
        <f t="shared" si="81"/>
        <v>7642</v>
      </c>
      <c r="Y135" s="195" t="str">
        <f t="shared" si="82"/>
        <v>SUCCESS</v>
      </c>
      <c r="Z135" s="195" t="str">
        <f t="shared" si="83"/>
        <v>SUCCESS</v>
      </c>
      <c r="AA135" s="185">
        <f t="shared" si="84"/>
        <v>144.89548446702844</v>
      </c>
    </row>
    <row r="136" spans="1:27">
      <c r="A136" s="112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168</v>
      </c>
      <c r="B136" s="113">
        <f t="shared" si="77"/>
        <v>50354</v>
      </c>
      <c r="C136" s="118">
        <f t="shared" si="112"/>
        <v>348.75000000000017</v>
      </c>
      <c r="D136" s="181" t="s">
        <v>4</v>
      </c>
      <c r="E136" s="182">
        <f>IF(H135="AFIII",VLOOKUP($D136,Sheet1!$A$34:$K$48,5,FALSE),IF(H135="UBIII",VLOOKUP($D136,Sheet1!$A$34:$K$48,8,FALSE),VLOOKUP($D136,Sheet1!$A$34:$K$48,2,FALSE)))</f>
        <v>1.67</v>
      </c>
      <c r="F136" s="182">
        <f>ROUNDDOWN((IF(H135="AFIII",VLOOKUP($D136,Sheet1!$A$34:$K$48,5,FALSE),IF(H135="UBIII",VLOOKUP($D136,Sheet1!$A$34:$K$48,8,FALSE),VLOOKUP($D136,Sheet1!$A$34:$K$48,2,FALSE))))*0.85,2)</f>
        <v>1.41</v>
      </c>
      <c r="G136" s="182">
        <f t="shared" si="119"/>
        <v>2.39</v>
      </c>
      <c r="H136" s="183" t="s">
        <v>84</v>
      </c>
      <c r="I136" s="182">
        <v>10</v>
      </c>
      <c r="K136" s="182">
        <f t="shared" ref="K136:K141" si="121">K135-G136</f>
        <v>17.61</v>
      </c>
      <c r="L136" s="182">
        <f t="shared" si="111"/>
        <v>45.147999999999996</v>
      </c>
      <c r="M136" s="183" t="s">
        <v>135</v>
      </c>
      <c r="O136" s="182">
        <f t="shared" si="117"/>
        <v>2.7279999999999984</v>
      </c>
      <c r="R136" s="182">
        <f t="shared" si="106"/>
        <v>-2.1620000000000021</v>
      </c>
      <c r="U136" s="184">
        <f t="shared" si="100"/>
        <v>-0.53200000000004977</v>
      </c>
      <c r="V136" s="201">
        <f>IF(H135="AFIII",VLOOKUP(D136,Sheet1!$A$4:$H$18,5,FALSE),IF(H135="UBIII",VLOOKUP(D136,Sheet1!$A$4:$H$18,8,FALSE),IF(H135="",VLOOKUP(D136,Sheet1!$A$4:$H$18,2,FALSE),"0")))</f>
        <v>442</v>
      </c>
      <c r="W136" s="201">
        <f t="shared" si="80"/>
        <v>7033</v>
      </c>
      <c r="X136" s="208">
        <f t="shared" si="81"/>
        <v>10950</v>
      </c>
      <c r="Y136" s="171" t="str">
        <f t="shared" si="82"/>
        <v>SUCCESS</v>
      </c>
      <c r="Z136" s="171" t="str">
        <f t="shared" si="83"/>
        <v>SUCCESS</v>
      </c>
      <c r="AA136" s="185">
        <f t="shared" si="84"/>
        <v>144.38422939068093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504</v>
      </c>
      <c r="B137" s="113">
        <f t="shared" si="77"/>
        <v>50858</v>
      </c>
      <c r="C137" s="118">
        <f t="shared" si="112"/>
        <v>351.61000000000018</v>
      </c>
      <c r="D137" s="181" t="s">
        <v>6</v>
      </c>
      <c r="E137" s="182">
        <f>IF(H136="AFIII",VLOOKUP($D137,Sheet1!$A$34:$K$48,5,FALSE),IF(H136="UBIII",VLOOKUP($D137,Sheet1!$A$34:$K$48,8,FALSE),VLOOKUP($D137,Sheet1!$A$34:$K$48,2,FALSE)))</f>
        <v>2.86</v>
      </c>
      <c r="F137" s="182">
        <f>ROUNDDOWN((IF(H136="AFIII",VLOOKUP($D137,Sheet1!$A$34:$K$48,5,FALSE),IF(H136="UBIII",VLOOKUP($D137,Sheet1!$A$34:$K$48,8,FALSE),VLOOKUP($D137,Sheet1!$A$34:$K$48,2,FALSE))))*0.85,2)</f>
        <v>2.4300000000000002</v>
      </c>
      <c r="G137" s="182">
        <f t="shared" si="119"/>
        <v>2.86</v>
      </c>
      <c r="H137" s="183" t="s">
        <v>84</v>
      </c>
      <c r="I137" s="182">
        <f t="shared" ref="I137:I138" si="122">I136-G137</f>
        <v>7.1400000000000006</v>
      </c>
      <c r="K137" s="182">
        <f t="shared" si="121"/>
        <v>14.75</v>
      </c>
      <c r="L137" s="182">
        <f t="shared" si="111"/>
        <v>42.287999999999997</v>
      </c>
      <c r="O137" s="182">
        <f t="shared" si="117"/>
        <v>-0.13200000000000145</v>
      </c>
      <c r="U137" s="184">
        <f t="shared" si="100"/>
        <v>-3.3920000000000496</v>
      </c>
      <c r="V137" s="201">
        <f>IF(H136="AFIII",VLOOKUP(D137,Sheet1!$A$4:$H$18,5,FALSE),IF(H136="UBIII",VLOOKUP(D137,Sheet1!$A$4:$H$18,8,FALSE),IF(H136="",VLOOKUP(D137,Sheet1!$A$4:$H$18,2,FALSE),"0")))</f>
        <v>1768</v>
      </c>
      <c r="W137" s="201">
        <f t="shared" si="80"/>
        <v>0</v>
      </c>
      <c r="X137" s="208">
        <f t="shared" si="81"/>
        <v>9182</v>
      </c>
      <c r="Y137" s="171" t="str">
        <f t="shared" si="82"/>
        <v>SUCCESS</v>
      </c>
      <c r="Z137" s="171" t="str">
        <f t="shared" si="83"/>
        <v>SUCCESS</v>
      </c>
      <c r="AA137" s="185">
        <f t="shared" si="84"/>
        <v>144.64321265037961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504</v>
      </c>
      <c r="B138" s="113">
        <f t="shared" si="77"/>
        <v>51362</v>
      </c>
      <c r="C138" s="118">
        <f t="shared" si="112"/>
        <v>354.4700000000002</v>
      </c>
      <c r="D138" s="181" t="s">
        <v>6</v>
      </c>
      <c r="E138" s="182">
        <f>IF(H137="AFIII",VLOOKUP($D138,Sheet1!$A$34:$K$48,5,FALSE),IF(H137="UBIII",VLOOKUP($D138,Sheet1!$A$34:$K$48,8,FALSE),VLOOKUP($D138,Sheet1!$A$34:$K$48,2,FALSE)))</f>
        <v>2.86</v>
      </c>
      <c r="F138" s="182">
        <f>ROUNDDOWN((IF(H137="AFIII",VLOOKUP($D138,Sheet1!$A$34:$K$48,5,FALSE),IF(H137="UBIII",VLOOKUP($D138,Sheet1!$A$34:$K$48,8,FALSE),VLOOKUP($D138,Sheet1!$A$34:$K$48,2,FALSE))))*0.85,2)</f>
        <v>2.4300000000000002</v>
      </c>
      <c r="G138" s="182">
        <f t="shared" si="119"/>
        <v>2.86</v>
      </c>
      <c r="H138" s="183" t="s">
        <v>84</v>
      </c>
      <c r="I138" s="182">
        <f t="shared" si="122"/>
        <v>4.2800000000000011</v>
      </c>
      <c r="K138" s="182">
        <f t="shared" si="121"/>
        <v>11.89</v>
      </c>
      <c r="L138" s="182">
        <f t="shared" si="111"/>
        <v>39.427999999999997</v>
      </c>
      <c r="O138" s="182">
        <f t="shared" si="117"/>
        <v>-2.9920000000000013</v>
      </c>
      <c r="U138" s="184">
        <f t="shared" si="100"/>
        <v>-6.2520000000000495</v>
      </c>
      <c r="V138" s="201">
        <f>IF(H137="AFIII",VLOOKUP(D138,Sheet1!$A$4:$H$18,5,FALSE),IF(H137="UBIII",VLOOKUP(D138,Sheet1!$A$4:$H$18,8,FALSE),IF(H137="",VLOOKUP(D138,Sheet1!$A$4:$H$18,2,FALSE),"0")))</f>
        <v>1768</v>
      </c>
      <c r="W138" s="201">
        <f t="shared" si="80"/>
        <v>0</v>
      </c>
      <c r="X138" s="208">
        <f t="shared" si="81"/>
        <v>7414</v>
      </c>
      <c r="Y138" s="171" t="str">
        <f t="shared" si="82"/>
        <v>SUCCESS</v>
      </c>
      <c r="Z138" s="171" t="str">
        <f t="shared" si="83"/>
        <v>SUCCESS</v>
      </c>
      <c r="AA138" s="185">
        <f t="shared" si="84"/>
        <v>144.89801675741239</v>
      </c>
    </row>
    <row r="139" spans="1:27">
      <c r="A139" s="112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324</v>
      </c>
      <c r="B139" s="113">
        <f t="shared" si="77"/>
        <v>51686</v>
      </c>
      <c r="C139" s="118">
        <f t="shared" si="112"/>
        <v>356.86000000000018</v>
      </c>
      <c r="D139" s="181" t="s">
        <v>1</v>
      </c>
      <c r="E139" s="182">
        <f>IF(H138="AFIII",VLOOKUP($D139,Sheet1!$A$34:$K$48,5,FALSE),IF(H138="UBIII",VLOOKUP($D139,Sheet1!$A$34:$K$48,8,FALSE),VLOOKUP($D139,Sheet1!$A$34:$K$48,2,FALSE)))</f>
        <v>2.39</v>
      </c>
      <c r="F139" s="182">
        <f>ROUNDDOWN((IF(H138="AFIII",VLOOKUP($D139,Sheet1!$A$34:$K$48,5,FALSE),IF(H138="UBIII",VLOOKUP($D139,Sheet1!$A$34:$K$48,8,FALSE),VLOOKUP($D139,Sheet1!$A$34:$K$48,2,FALSE))))*0.85,2)</f>
        <v>2.0299999999999998</v>
      </c>
      <c r="G139" s="182">
        <f t="shared" si="119"/>
        <v>2.39</v>
      </c>
      <c r="H139" s="183" t="s">
        <v>84</v>
      </c>
      <c r="I139" s="182">
        <v>10</v>
      </c>
      <c r="K139" s="182">
        <f t="shared" si="121"/>
        <v>9.5</v>
      </c>
      <c r="L139" s="182">
        <f t="shared" si="111"/>
        <v>37.037999999999997</v>
      </c>
      <c r="M139" s="183" t="s">
        <v>226</v>
      </c>
      <c r="O139" s="182">
        <f>O84-SUM(G85:G139)</f>
        <v>-144.45800000000003</v>
      </c>
      <c r="V139" s="201">
        <f>IF(H138="AFIII",VLOOKUP(D139,Sheet1!$A$4:$H$18,5,FALSE),IF(H138="UBIII",VLOOKUP(D139,Sheet1!$A$4:$H$18,8,FALSE),IF(H138="",VLOOKUP(D139,Sheet1!$A$4:$H$18,2,FALSE),"0")))</f>
        <v>2120</v>
      </c>
      <c r="W139" s="201">
        <f t="shared" si="80"/>
        <v>0</v>
      </c>
      <c r="X139" s="208">
        <f t="shared" si="81"/>
        <v>5294</v>
      </c>
      <c r="Y139" s="171" t="str">
        <f t="shared" si="82"/>
        <v>SUCCESS</v>
      </c>
      <c r="Z139" s="171" t="str">
        <f t="shared" si="83"/>
        <v>SUCCESS</v>
      </c>
      <c r="AA139" s="185">
        <f t="shared" si="84"/>
        <v>144.83550972370111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504</v>
      </c>
      <c r="B140" s="113">
        <f t="shared" si="77"/>
        <v>52190</v>
      </c>
      <c r="C140" s="118">
        <f t="shared" si="112"/>
        <v>359.7200000000002</v>
      </c>
      <c r="D140" s="181" t="s">
        <v>6</v>
      </c>
      <c r="E140" s="182">
        <f>IF(H139="AFIII",VLOOKUP($D140,Sheet1!$A$34:$K$48,5,FALSE),IF(H139="UBIII",VLOOKUP($D140,Sheet1!$A$34:$K$48,8,FALSE),VLOOKUP($D140,Sheet1!$A$34:$K$48,2,FALSE)))</f>
        <v>2.86</v>
      </c>
      <c r="F140" s="182">
        <f>ROUNDDOWN((IF(H139="AFIII",VLOOKUP($D140,Sheet1!$A$34:$K$48,5,FALSE),IF(H139="UBIII",VLOOKUP($D140,Sheet1!$A$34:$K$48,8,FALSE),VLOOKUP($D140,Sheet1!$A$34:$K$48,2,FALSE))))*0.85,2)</f>
        <v>2.4300000000000002</v>
      </c>
      <c r="G140" s="182">
        <f t="shared" si="119"/>
        <v>2.86</v>
      </c>
      <c r="H140" s="183" t="s">
        <v>84</v>
      </c>
      <c r="I140" s="182">
        <f t="shared" ref="I140" si="123">I139-G140</f>
        <v>7.1400000000000006</v>
      </c>
      <c r="K140" s="182">
        <f t="shared" si="121"/>
        <v>6.6400000000000006</v>
      </c>
      <c r="L140" s="182">
        <f t="shared" si="111"/>
        <v>34.177999999999997</v>
      </c>
      <c r="O140" s="182">
        <f>O139-G140</f>
        <v>-147.31800000000004</v>
      </c>
      <c r="V140" s="201">
        <f>IF(H139="AFIII",VLOOKUP(D140,Sheet1!$A$4:$H$18,5,FALSE),IF(H139="UBIII",VLOOKUP(D140,Sheet1!$A$4:$H$18,8,FALSE),IF(H139="",VLOOKUP(D140,Sheet1!$A$4:$H$18,2,FALSE),"0")))</f>
        <v>1768</v>
      </c>
      <c r="W140" s="201">
        <f t="shared" si="80"/>
        <v>0</v>
      </c>
      <c r="X140" s="208">
        <f t="shared" si="81"/>
        <v>3526</v>
      </c>
      <c r="Y140" s="171" t="str">
        <f t="shared" si="82"/>
        <v>SUCCESS</v>
      </c>
      <c r="Z140" s="171" t="str">
        <f t="shared" si="83"/>
        <v>SUCCESS</v>
      </c>
      <c r="AA140" s="185">
        <f t="shared" si="84"/>
        <v>145.0850661625708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168</v>
      </c>
      <c r="B141" s="113">
        <f t="shared" si="77"/>
        <v>52358</v>
      </c>
      <c r="C141" s="118">
        <f t="shared" si="112"/>
        <v>362.11000000000018</v>
      </c>
      <c r="D141" s="181" t="s">
        <v>12</v>
      </c>
      <c r="E141" s="182">
        <f>IF(H140="AFIII",VLOOKUP($D141,Sheet1!$A$34:$K$48,5,FALSE),IF(H140="UBIII",VLOOKUP($D141,Sheet1!$A$34:$K$48,8,FALSE),VLOOKUP($D141,Sheet1!$A$34:$K$48,2,FALSE)))</f>
        <v>1.67</v>
      </c>
      <c r="F141" s="182">
        <f>ROUNDDOWN((IF(H140="AFIII",VLOOKUP($D141,Sheet1!$A$34:$K$48,5,FALSE),IF(H140="UBIII",VLOOKUP($D141,Sheet1!$A$34:$K$48,8,FALSE),VLOOKUP($D141,Sheet1!$A$34:$K$48,2,FALSE))))*0.85,2)</f>
        <v>1.41</v>
      </c>
      <c r="G141" s="182">
        <f t="shared" si="119"/>
        <v>2.39</v>
      </c>
      <c r="H141" s="183" t="s">
        <v>122</v>
      </c>
      <c r="I141" s="182">
        <v>10</v>
      </c>
      <c r="K141" s="182">
        <f t="shared" si="121"/>
        <v>4.25</v>
      </c>
      <c r="L141" s="182">
        <f t="shared" si="111"/>
        <v>31.787999999999997</v>
      </c>
      <c r="O141" s="182">
        <f t="shared" ref="O141:O152" si="124">O140-G141</f>
        <v>-149.70800000000003</v>
      </c>
      <c r="V141" s="201">
        <f>IF(H140="AFIII",VLOOKUP(D141,Sheet1!$A$4:$H$18,5,FALSE),IF(H140="UBIII",VLOOKUP(D141,Sheet1!$A$4:$H$18,8,FALSE),IF(H140="",VLOOKUP(D141,Sheet1!$A$4:$H$18,2,FALSE),"0")))</f>
        <v>265</v>
      </c>
      <c r="W141" s="201">
        <f t="shared" si="80"/>
        <v>0</v>
      </c>
      <c r="X141" s="208">
        <f t="shared" si="81"/>
        <v>3261</v>
      </c>
      <c r="Y141" s="171" t="str">
        <f t="shared" si="82"/>
        <v>SUCCESS</v>
      </c>
      <c r="Z141" s="171" t="str">
        <f t="shared" si="83"/>
        <v>SUCCESS</v>
      </c>
      <c r="AA141" s="185">
        <f t="shared" si="84"/>
        <v>144.59142249592657</v>
      </c>
    </row>
    <row r="142" spans="1:27">
      <c r="A142" s="119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280</v>
      </c>
      <c r="B142" s="120">
        <f t="shared" si="77"/>
        <v>52638</v>
      </c>
      <c r="C142" s="121">
        <f t="shared" si="112"/>
        <v>364.9700000000002</v>
      </c>
      <c r="D142" s="191" t="s">
        <v>14</v>
      </c>
      <c r="E142" s="192">
        <f>IF(H141="AFIII",VLOOKUP($D142,Sheet1!$A$34:$K$48,5,FALSE),IF(H141="UBIII",VLOOKUP($D142,Sheet1!$A$34:$K$48,8,FALSE),VLOOKUP($D142,Sheet1!$A$34:$K$48,2,FALSE)))</f>
        <v>2.86</v>
      </c>
      <c r="F142" s="192">
        <f>ROUNDDOWN((IF(H141="AFIII",VLOOKUP($D142,Sheet1!$A$34:$K$48,5,FALSE),IF(H141="UBIII",VLOOKUP($D142,Sheet1!$A$34:$K$48,8,FALSE),VLOOKUP($D142,Sheet1!$A$34:$K$48,2,FALSE))))*0.85,2)</f>
        <v>2.4300000000000002</v>
      </c>
      <c r="G142" s="192">
        <f t="shared" si="119"/>
        <v>2.86</v>
      </c>
      <c r="H142" s="193" t="s">
        <v>122</v>
      </c>
      <c r="I142" s="192">
        <f t="shared" ref="I142" si="125">I141-G142</f>
        <v>7.1400000000000006</v>
      </c>
      <c r="J142" s="193"/>
      <c r="K142" s="192">
        <v>15</v>
      </c>
      <c r="L142" s="192">
        <f t="shared" si="111"/>
        <v>28.927999999999997</v>
      </c>
      <c r="M142" s="193"/>
      <c r="N142" s="192"/>
      <c r="O142" s="192">
        <f t="shared" si="124"/>
        <v>-152.56800000000004</v>
      </c>
      <c r="P142" s="193"/>
      <c r="Q142" s="192"/>
      <c r="R142" s="192"/>
      <c r="S142" s="193"/>
      <c r="T142" s="192"/>
      <c r="U142" s="194"/>
      <c r="V142" s="211">
        <f>IF(H141="AFIII",VLOOKUP(D142,Sheet1!$A$4:$H$18,5,FALSE),IF(H141="UBIII",VLOOKUP(D142,Sheet1!$A$4:$H$18,8,FALSE),IF(H141="",VLOOKUP(D142,Sheet1!$A$4:$H$18,2,FALSE),"0")))</f>
        <v>884</v>
      </c>
      <c r="W142" s="211">
        <f t="shared" si="80"/>
        <v>7033</v>
      </c>
      <c r="X142" s="212">
        <f t="shared" si="81"/>
        <v>9410</v>
      </c>
      <c r="Y142" s="195" t="str">
        <f t="shared" si="82"/>
        <v>SUCCESS</v>
      </c>
      <c r="Z142" s="195" t="str">
        <f t="shared" si="83"/>
        <v>SUCCESS</v>
      </c>
      <c r="AA142" s="185">
        <f t="shared" si="84"/>
        <v>144.22555278516035</v>
      </c>
    </row>
    <row r="143" spans="1:27">
      <c r="A143" s="112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168</v>
      </c>
      <c r="B143" s="113">
        <f t="shared" si="77"/>
        <v>52806</v>
      </c>
      <c r="C143" s="118">
        <f t="shared" si="112"/>
        <v>367.36000000000018</v>
      </c>
      <c r="D143" s="181" t="s">
        <v>4</v>
      </c>
      <c r="E143" s="182">
        <f>IF(H142="AFIII",VLOOKUP($D143,Sheet1!$A$34:$K$48,5,FALSE),IF(H142="UBIII",VLOOKUP($D143,Sheet1!$A$34:$K$48,8,FALSE),VLOOKUP($D143,Sheet1!$A$34:$K$48,2,FALSE)))</f>
        <v>1.67</v>
      </c>
      <c r="F143" s="182">
        <f>ROUNDDOWN((IF(H142="AFIII",VLOOKUP($D143,Sheet1!$A$34:$K$48,5,FALSE),IF(H142="UBIII",VLOOKUP($D143,Sheet1!$A$34:$K$48,8,FALSE),VLOOKUP($D143,Sheet1!$A$34:$K$48,2,FALSE))))*0.85,2)</f>
        <v>1.41</v>
      </c>
      <c r="G143" s="182">
        <f t="shared" si="119"/>
        <v>2.39</v>
      </c>
      <c r="H143" s="183" t="s">
        <v>84</v>
      </c>
      <c r="I143" s="182">
        <v>10</v>
      </c>
      <c r="K143" s="182">
        <f t="shared" ref="K143:K148" si="126">K142-G143</f>
        <v>12.61</v>
      </c>
      <c r="L143" s="182">
        <f t="shared" si="111"/>
        <v>26.537999999999997</v>
      </c>
      <c r="O143" s="182">
        <f t="shared" si="124"/>
        <v>-154.95800000000003</v>
      </c>
      <c r="V143" s="201">
        <f>IF(H142="AFIII",VLOOKUP(D143,Sheet1!$A$4:$H$18,5,FALSE),IF(H142="UBIII",VLOOKUP(D143,Sheet1!$A$4:$H$18,8,FALSE),IF(H142="",VLOOKUP(D143,Sheet1!$A$4:$H$18,2,FALSE),"0")))</f>
        <v>442</v>
      </c>
      <c r="W143" s="201">
        <f t="shared" si="80"/>
        <v>7033</v>
      </c>
      <c r="X143" s="208">
        <f t="shared" si="81"/>
        <v>10950</v>
      </c>
      <c r="Y143" s="171" t="str">
        <f t="shared" si="82"/>
        <v>SUCCESS</v>
      </c>
      <c r="Z143" s="171" t="str">
        <f t="shared" si="83"/>
        <v>SUCCESS</v>
      </c>
      <c r="AA143" s="185">
        <f t="shared" si="84"/>
        <v>143.74455574912884</v>
      </c>
    </row>
    <row r="144" spans="1:27">
      <c r="A144" s="11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504</v>
      </c>
      <c r="B144" s="113">
        <f t="shared" si="77"/>
        <v>53310</v>
      </c>
      <c r="C144" s="118">
        <f t="shared" si="112"/>
        <v>370.2200000000002</v>
      </c>
      <c r="D144" s="181" t="s">
        <v>6</v>
      </c>
      <c r="E144" s="182">
        <f>IF(H143="AFIII",VLOOKUP($D144,Sheet1!$A$34:$K$48,5,FALSE),IF(H143="UBIII",VLOOKUP($D144,Sheet1!$A$34:$K$48,8,FALSE),VLOOKUP($D144,Sheet1!$A$34:$K$48,2,FALSE)))</f>
        <v>2.86</v>
      </c>
      <c r="F144" s="182">
        <f>ROUNDDOWN((IF(H143="AFIII",VLOOKUP($D144,Sheet1!$A$34:$K$48,5,FALSE),IF(H143="UBIII",VLOOKUP($D144,Sheet1!$A$34:$K$48,8,FALSE),VLOOKUP($D144,Sheet1!$A$34:$K$48,2,FALSE))))*0.85,2)</f>
        <v>2.4300000000000002</v>
      </c>
      <c r="G144" s="182">
        <f t="shared" si="119"/>
        <v>2.86</v>
      </c>
      <c r="H144" s="183" t="s">
        <v>84</v>
      </c>
      <c r="I144" s="182">
        <f t="shared" ref="I144:I145" si="127">I143-G144</f>
        <v>7.1400000000000006</v>
      </c>
      <c r="K144" s="182">
        <f t="shared" si="126"/>
        <v>9.75</v>
      </c>
      <c r="L144" s="182">
        <f t="shared" si="111"/>
        <v>23.677999999999997</v>
      </c>
      <c r="O144" s="182">
        <f t="shared" si="124"/>
        <v>-157.81800000000004</v>
      </c>
      <c r="V144" s="201">
        <f>IF(H143="AFIII",VLOOKUP(D144,Sheet1!$A$4:$H$18,5,FALSE),IF(H143="UBIII",VLOOKUP(D144,Sheet1!$A$4:$H$18,8,FALSE),IF(H143="",VLOOKUP(D144,Sheet1!$A$4:$H$18,2,FALSE),"0")))</f>
        <v>1768</v>
      </c>
      <c r="W144" s="201">
        <f t="shared" si="80"/>
        <v>0</v>
      </c>
      <c r="X144" s="208">
        <f t="shared" si="81"/>
        <v>9182</v>
      </c>
      <c r="Y144" s="171" t="str">
        <f t="shared" si="82"/>
        <v>SUCCESS</v>
      </c>
      <c r="Z144" s="171" t="str">
        <f t="shared" si="83"/>
        <v>SUCCESS</v>
      </c>
      <c r="AA144" s="185">
        <f t="shared" si="84"/>
        <v>143.99546215763593</v>
      </c>
    </row>
    <row r="145" spans="1:27">
      <c r="A145" s="112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504</v>
      </c>
      <c r="B145" s="113">
        <f t="shared" si="77"/>
        <v>53814</v>
      </c>
      <c r="C145" s="118">
        <f t="shared" si="112"/>
        <v>373.08000000000021</v>
      </c>
      <c r="D145" s="181" t="s">
        <v>6</v>
      </c>
      <c r="E145" s="182">
        <f>IF(H144="AFIII",VLOOKUP($D145,Sheet1!$A$34:$K$48,5,FALSE),IF(H144="UBIII",VLOOKUP($D145,Sheet1!$A$34:$K$48,8,FALSE),VLOOKUP($D145,Sheet1!$A$34:$K$48,2,FALSE)))</f>
        <v>2.86</v>
      </c>
      <c r="F145" s="182">
        <f>ROUNDDOWN((IF(H144="AFIII",VLOOKUP($D145,Sheet1!$A$34:$K$48,5,FALSE),IF(H144="UBIII",VLOOKUP($D145,Sheet1!$A$34:$K$48,8,FALSE),VLOOKUP($D145,Sheet1!$A$34:$K$48,2,FALSE))))*0.85,2)</f>
        <v>2.4300000000000002</v>
      </c>
      <c r="G145" s="182">
        <f t="shared" si="119"/>
        <v>2.86</v>
      </c>
      <c r="H145" s="183" t="s">
        <v>84</v>
      </c>
      <c r="I145" s="182">
        <f t="shared" si="127"/>
        <v>4.2800000000000011</v>
      </c>
      <c r="K145" s="182">
        <f t="shared" si="126"/>
        <v>6.8900000000000006</v>
      </c>
      <c r="L145" s="182">
        <f t="shared" si="111"/>
        <v>20.817999999999998</v>
      </c>
      <c r="O145" s="182">
        <f t="shared" si="124"/>
        <v>-160.67800000000005</v>
      </c>
      <c r="V145" s="201">
        <f>IF(H144="AFIII",VLOOKUP(D145,Sheet1!$A$4:$H$18,5,FALSE),IF(H144="UBIII",VLOOKUP(D145,Sheet1!$A$4:$H$18,8,FALSE),IF(H144="",VLOOKUP(D145,Sheet1!$A$4:$H$18,2,FALSE),"0")))</f>
        <v>1768</v>
      </c>
      <c r="W145" s="201">
        <f t="shared" si="80"/>
        <v>0</v>
      </c>
      <c r="X145" s="208">
        <f t="shared" si="81"/>
        <v>7414</v>
      </c>
      <c r="Y145" s="171" t="str">
        <f t="shared" si="82"/>
        <v>SUCCESS</v>
      </c>
      <c r="Z145" s="171" t="str">
        <f t="shared" si="83"/>
        <v>SUCCESS</v>
      </c>
      <c r="AA145" s="185">
        <f t="shared" si="84"/>
        <v>144.24252171116106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496</v>
      </c>
      <c r="B146" s="113">
        <f t="shared" ref="B146:B149" si="128">B145+A146</f>
        <v>54310</v>
      </c>
      <c r="C146" s="118">
        <f t="shared" si="112"/>
        <v>376.42600000000022</v>
      </c>
      <c r="D146" s="181" t="s">
        <v>128</v>
      </c>
      <c r="E146" s="182">
        <f>IF(H145="AFIII",VLOOKUP($D146,Sheet1!$A$34:$K$48,5,FALSE),IF(H145="UBIII",VLOOKUP($D146,Sheet1!$A$34:$K$48,8,FALSE),VLOOKUP($D146,Sheet1!$A$34:$K$48,2,FALSE)))</f>
        <v>3.3460000000000001</v>
      </c>
      <c r="F146" s="182">
        <f>ROUNDDOWN((IF(H145="AFIII",VLOOKUP($D146,Sheet1!$A$34:$K$48,5,FALSE),IF(H145="UBIII",VLOOKUP($D146,Sheet1!$A$34:$K$48,8,FALSE),VLOOKUP($D146,Sheet1!$A$34:$K$48,2,FALSE))))*0.85,2)</f>
        <v>2.84</v>
      </c>
      <c r="G146" s="182">
        <f t="shared" si="119"/>
        <v>3.3460000000000001</v>
      </c>
      <c r="H146" s="183" t="s">
        <v>84</v>
      </c>
      <c r="I146" s="182">
        <v>10</v>
      </c>
      <c r="K146" s="182">
        <f t="shared" si="126"/>
        <v>3.5440000000000005</v>
      </c>
      <c r="L146" s="182">
        <f t="shared" si="111"/>
        <v>17.471999999999998</v>
      </c>
      <c r="O146" s="182">
        <f t="shared" si="124"/>
        <v>-164.02400000000006</v>
      </c>
      <c r="V146" s="201">
        <f>IF(H145="AFIII",VLOOKUP(D146,Sheet1!$A$4:$H$18,5,FALSE),IF(H145="UBIII",VLOOKUP(D146,Sheet1!$A$4:$H$18,8,FALSE),IF(H145="",VLOOKUP(D146,Sheet1!$A$4:$H$18,2,FALSE),"0")))</f>
        <v>2120</v>
      </c>
      <c r="W146" s="201">
        <f t="shared" ref="W146:W149" si="129">IF(H145="UBIII",$X$2,0)</f>
        <v>0</v>
      </c>
      <c r="X146" s="208">
        <f t="shared" ref="X146:X149" si="130">IF(D146="フレア",IF(M146="コンバート",$X$1,0),IF(X145-V146+W146&gt;$X$3,$X$3-V146,X145-V146+W146))</f>
        <v>5294</v>
      </c>
      <c r="Y146" s="171" t="str">
        <f t="shared" ref="Y146:Y156" si="131">IF(X145-V146&lt;0,"ERROR","SUCCESS")</f>
        <v>SUCCESS</v>
      </c>
      <c r="Z146" s="171" t="str">
        <f t="shared" ref="Z146:Z156" si="132">IF(K145-G146&lt;0,"ERROR","SUCCESS")</f>
        <v>SUCCESS</v>
      </c>
      <c r="AA146" s="185">
        <f t="shared" ref="AA146:AA149" si="133">B146/C146</f>
        <v>144.27802542863662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504</v>
      </c>
      <c r="B147" s="113">
        <f t="shared" si="128"/>
        <v>54814</v>
      </c>
      <c r="C147" s="118">
        <f t="shared" si="112"/>
        <v>379.28600000000023</v>
      </c>
      <c r="D147" s="181" t="s">
        <v>6</v>
      </c>
      <c r="E147" s="182">
        <f>IF(H146="AFIII",VLOOKUP($D147,Sheet1!$A$34:$K$48,5,FALSE),IF(H146="UBIII",VLOOKUP($D147,Sheet1!$A$34:$K$48,8,FALSE),VLOOKUP($D147,Sheet1!$A$34:$K$48,2,FALSE)))</f>
        <v>2.86</v>
      </c>
      <c r="F147" s="182">
        <f>ROUNDDOWN((IF(H146="AFIII",VLOOKUP($D147,Sheet1!$A$34:$K$48,5,FALSE),IF(H146="UBIII",VLOOKUP($D147,Sheet1!$A$34:$K$48,8,FALSE),VLOOKUP($D147,Sheet1!$A$34:$K$48,2,FALSE))))*0.85,2)</f>
        <v>2.4300000000000002</v>
      </c>
      <c r="G147" s="182">
        <f t="shared" si="119"/>
        <v>2.86</v>
      </c>
      <c r="H147" s="183" t="s">
        <v>84</v>
      </c>
      <c r="I147" s="182">
        <f t="shared" ref="I147" si="134">I146-G147</f>
        <v>7.1400000000000006</v>
      </c>
      <c r="K147" s="182">
        <f t="shared" si="126"/>
        <v>0.68400000000000061</v>
      </c>
      <c r="L147" s="182">
        <f t="shared" si="111"/>
        <v>14.611999999999998</v>
      </c>
      <c r="O147" s="182">
        <f t="shared" si="124"/>
        <v>-166.88400000000007</v>
      </c>
      <c r="V147" s="201">
        <f>IF(H146="AFIII",VLOOKUP(D147,Sheet1!$A$4:$H$18,5,FALSE),IF(H146="UBIII",VLOOKUP(D147,Sheet1!$A$4:$H$18,8,FALSE),IF(H146="",VLOOKUP(D147,Sheet1!$A$4:$H$18,2,FALSE),"0")))</f>
        <v>1768</v>
      </c>
      <c r="W147" s="201">
        <f t="shared" si="129"/>
        <v>0</v>
      </c>
      <c r="X147" s="208">
        <f t="shared" si="130"/>
        <v>3526</v>
      </c>
      <c r="Y147" s="171" t="str">
        <f t="shared" si="131"/>
        <v>SUCCESS</v>
      </c>
      <c r="Z147" s="171" t="str">
        <f t="shared" si="132"/>
        <v>SUCCESS</v>
      </c>
      <c r="AA147" s="185">
        <f t="shared" si="133"/>
        <v>144.51891185016046</v>
      </c>
    </row>
    <row r="148" spans="1:27">
      <c r="A148" s="112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168</v>
      </c>
      <c r="B148" s="113">
        <f t="shared" si="128"/>
        <v>54982</v>
      </c>
      <c r="C148" s="118">
        <f t="shared" si="112"/>
        <v>381.67600000000022</v>
      </c>
      <c r="D148" s="181" t="s">
        <v>12</v>
      </c>
      <c r="E148" s="182">
        <f>IF(H147="AFIII",VLOOKUP($D148,Sheet1!$A$34:$K$48,5,FALSE),IF(H147="UBIII",VLOOKUP($D148,Sheet1!$A$34:$K$48,8,FALSE),VLOOKUP($D148,Sheet1!$A$34:$K$48,2,FALSE)))</f>
        <v>1.67</v>
      </c>
      <c r="F148" s="182">
        <f>ROUNDDOWN((IF(H147="AFIII",VLOOKUP($D148,Sheet1!$A$34:$K$48,5,FALSE),IF(H147="UBIII",VLOOKUP($D148,Sheet1!$A$34:$K$48,8,FALSE),VLOOKUP($D148,Sheet1!$A$34:$K$48,2,FALSE))))*0.85,2)</f>
        <v>1.41</v>
      </c>
      <c r="G148" s="182">
        <f t="shared" si="119"/>
        <v>2.39</v>
      </c>
      <c r="H148" s="183" t="s">
        <v>122</v>
      </c>
      <c r="I148" s="182">
        <v>10</v>
      </c>
      <c r="K148" s="182">
        <f t="shared" si="126"/>
        <v>-1.7059999999999995</v>
      </c>
      <c r="L148" s="182">
        <f t="shared" si="111"/>
        <v>12.221999999999998</v>
      </c>
      <c r="O148" s="182">
        <f t="shared" si="124"/>
        <v>-169.27400000000006</v>
      </c>
      <c r="V148" s="201">
        <f>IF(H147="AFIII",VLOOKUP(D148,Sheet1!$A$4:$H$18,5,FALSE),IF(H147="UBIII",VLOOKUP(D148,Sheet1!$A$4:$H$18,8,FALSE),IF(H147="",VLOOKUP(D148,Sheet1!$A$4:$H$18,2,FALSE),"0")))</f>
        <v>265</v>
      </c>
      <c r="W148" s="201">
        <f t="shared" si="129"/>
        <v>0</v>
      </c>
      <c r="X148" s="208">
        <f t="shared" si="130"/>
        <v>3261</v>
      </c>
      <c r="Y148" s="171" t="str">
        <f t="shared" si="131"/>
        <v>SUCCESS</v>
      </c>
      <c r="Z148" s="171" t="str">
        <f t="shared" si="132"/>
        <v>ERROR</v>
      </c>
      <c r="AA148" s="185">
        <f t="shared" si="133"/>
        <v>144.05411920057841</v>
      </c>
    </row>
    <row r="149" spans="1:27" ht="12.75" thickBot="1">
      <c r="A149" s="116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295</v>
      </c>
      <c r="B149" s="117">
        <f t="shared" si="128"/>
        <v>55277</v>
      </c>
      <c r="C149" s="125">
        <f t="shared" si="112"/>
        <v>384.53600000000023</v>
      </c>
      <c r="D149" s="196" t="s">
        <v>19</v>
      </c>
      <c r="E149" s="197">
        <f>IF(H148="AFIII",VLOOKUP($D149,Sheet1!$A$34:$K$48,5,FALSE),IF(H148="UBIII",VLOOKUP($D149,Sheet1!$A$34:$K$48,8,FALSE),VLOOKUP($D149,Sheet1!$A$34:$K$48,2,FALSE)))</f>
        <v>2.86</v>
      </c>
      <c r="F149" s="197">
        <f>ROUNDDOWN((IF(H148="AFIII",VLOOKUP($D149,Sheet1!$A$34:$K$48,5,FALSE),IF(H148="UBIII",VLOOKUP($D149,Sheet1!$A$34:$K$48,8,FALSE),VLOOKUP($D149,Sheet1!$A$34:$K$48,2,FALSE))))*0.85,2)</f>
        <v>2.4300000000000002</v>
      </c>
      <c r="G149" s="197">
        <f t="shared" si="119"/>
        <v>2.86</v>
      </c>
      <c r="H149" s="198" t="s">
        <v>122</v>
      </c>
      <c r="I149" s="197">
        <f>I148-G149</f>
        <v>7.1400000000000006</v>
      </c>
      <c r="J149" s="198"/>
      <c r="K149" s="197"/>
      <c r="L149" s="197">
        <f t="shared" si="111"/>
        <v>9.3619999999999983</v>
      </c>
      <c r="M149" s="198"/>
      <c r="N149" s="197"/>
      <c r="O149" s="197">
        <f t="shared" si="124"/>
        <v>-172.13400000000007</v>
      </c>
      <c r="P149" s="198" t="s">
        <v>17</v>
      </c>
      <c r="Q149" s="197">
        <v>21</v>
      </c>
      <c r="R149" s="197"/>
      <c r="S149" s="198"/>
      <c r="T149" s="197"/>
      <c r="U149" s="199"/>
      <c r="V149" s="206">
        <f>IF(H148="AFIII",VLOOKUP(D149,Sheet1!$A$4:$H$18,5,FALSE),IF(H148="UBIII",VLOOKUP(D149,Sheet1!$A$4:$H$18,8,FALSE),IF(H148="",VLOOKUP(D149,Sheet1!$A$4:$H$18,2,FALSE),"0")))</f>
        <v>1060</v>
      </c>
      <c r="W149" s="206">
        <f t="shared" si="129"/>
        <v>7033</v>
      </c>
      <c r="X149" s="207">
        <f t="shared" si="130"/>
        <v>9234</v>
      </c>
      <c r="Y149" s="180" t="str">
        <f t="shared" si="131"/>
        <v>SUCCESS</v>
      </c>
      <c r="Z149" s="180" t="str">
        <f t="shared" si="132"/>
        <v>ERROR</v>
      </c>
      <c r="AA149" s="185">
        <f t="shared" si="133"/>
        <v>143.74986997316236</v>
      </c>
    </row>
    <row r="150" spans="1:27" ht="12.75" thickTop="1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168</v>
      </c>
      <c r="B150" s="113">
        <f>B149+A150</f>
        <v>55445</v>
      </c>
      <c r="C150" s="118">
        <f t="shared" si="112"/>
        <v>386.92600000000022</v>
      </c>
      <c r="D150" s="181" t="s">
        <v>4</v>
      </c>
      <c r="E150" s="182">
        <f>IF(H149="AFIII",VLOOKUP($D150,Sheet1!$A$34:$K$48,5,FALSE),IF(H149="UBIII",VLOOKUP($D150,Sheet1!$A$34:$K$48,8,FALSE),VLOOKUP($D150,Sheet1!$A$34:$K$48,2,FALSE)))</f>
        <v>1.67</v>
      </c>
      <c r="F150" s="182">
        <f>ROUNDDOWN((IF(H149="AFIII",VLOOKUP($D150,Sheet1!$A$34:$K$48,5,FALSE),IF(H149="UBIII",VLOOKUP($D150,Sheet1!$A$34:$K$48,8,FALSE),VLOOKUP($D150,Sheet1!$A$34:$K$48,2,FALSE))))*0.85,2)</f>
        <v>1.41</v>
      </c>
      <c r="G150" s="182">
        <f>IF(M149="迅速",IF(S149="黒魔紋",$F$1,$E$1),IF(S149="黒魔紋",IF(F150&lt;$F$1,$F$1,F150),IF(E150&lt;$E$1,$E$1,E150)))</f>
        <v>2.39</v>
      </c>
      <c r="H150" s="183" t="s">
        <v>84</v>
      </c>
      <c r="I150" s="182">
        <v>10</v>
      </c>
      <c r="L150" s="182">
        <f t="shared" si="111"/>
        <v>6.9719999999999978</v>
      </c>
      <c r="O150" s="182">
        <f t="shared" si="124"/>
        <v>-174.52400000000006</v>
      </c>
      <c r="Q150" s="182">
        <f>Q149-G150</f>
        <v>18.61</v>
      </c>
      <c r="V150" s="201">
        <f>IF(H149="AFIII",VLOOKUP(D150,Sheet1!$A$4:$H$18,5,FALSE),IF(H149="UBIII",VLOOKUP(D150,Sheet1!$A$4:$H$18,8,FALSE),IF(H149="",VLOOKUP(D150,Sheet1!$A$4:$H$18,2,FALSE),"0")))</f>
        <v>442</v>
      </c>
      <c r="W150" s="201">
        <f>IF(H149="UBIII",$X$2,0)</f>
        <v>7033</v>
      </c>
      <c r="X150" s="208">
        <f>IF(D150="フレア",IF(M150="コンバート",$X$1,0),IF(X149-V150+W150&gt;$X$3,$X$3-V150,X149-V150+W150))</f>
        <v>10950</v>
      </c>
      <c r="Y150" s="171" t="str">
        <f t="shared" si="131"/>
        <v>SUCCESS</v>
      </c>
      <c r="Z150" s="171" t="str">
        <f t="shared" si="132"/>
        <v>ERROR</v>
      </c>
      <c r="AA150" s="185">
        <f>B150/C150</f>
        <v>143.29613414451333</v>
      </c>
    </row>
    <row r="151" spans="1:27">
      <c r="A151" s="112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496</v>
      </c>
      <c r="B151" s="113">
        <f t="shared" ref="B151:B156" si="135">B150+A151</f>
        <v>55941</v>
      </c>
      <c r="C151" s="118">
        <f t="shared" si="112"/>
        <v>390.27200000000022</v>
      </c>
      <c r="D151" s="181" t="s">
        <v>128</v>
      </c>
      <c r="E151" s="182">
        <f>IF(H150="AFIII",VLOOKUP($D151,Sheet1!$A$34:$K$48,5,FALSE),IF(H150="UBIII",VLOOKUP($D151,Sheet1!$A$34:$K$48,8,FALSE),VLOOKUP($D151,Sheet1!$A$34:$K$48,2,FALSE)))</f>
        <v>3.3460000000000001</v>
      </c>
      <c r="F151" s="182">
        <f>ROUNDDOWN((IF(H150="AFIII",VLOOKUP($D151,Sheet1!$A$34:$K$48,5,FALSE),IF(H150="UBIII",VLOOKUP($D151,Sheet1!$A$34:$K$48,8,FALSE),VLOOKUP($D151,Sheet1!$A$34:$K$48,2,FALSE))))*0.85,2)</f>
        <v>2.84</v>
      </c>
      <c r="G151" s="182">
        <f t="shared" ref="G151:G156" si="136">IF(M150="迅速",IF(S150="黒魔紋",$F$1,$E$1),IF(S150="黒魔紋",IF(F151&lt;$F$1,$F$1,F151),IF(E151&lt;$E$1,$E$1,E151)))</f>
        <v>3.3460000000000001</v>
      </c>
      <c r="H151" s="183" t="s">
        <v>84</v>
      </c>
      <c r="I151" s="182">
        <v>10</v>
      </c>
      <c r="L151" s="182">
        <f t="shared" si="111"/>
        <v>3.6259999999999977</v>
      </c>
      <c r="O151" s="182">
        <f t="shared" si="124"/>
        <v>-177.87000000000006</v>
      </c>
      <c r="Q151" s="182">
        <f t="shared" ref="Q151:Q155" si="137">Q150-G151</f>
        <v>15.263999999999999</v>
      </c>
      <c r="V151" s="201">
        <f>IF(H150="AFIII",VLOOKUP(D151,Sheet1!$A$4:$H$18,5,FALSE),IF(H150="UBIII",VLOOKUP(D151,Sheet1!$A$4:$H$18,8,FALSE),IF(H150="",VLOOKUP(D151,Sheet1!$A$4:$H$18,2,FALSE),"0")))</f>
        <v>2120</v>
      </c>
      <c r="W151" s="201">
        <f t="shared" ref="W151:W156" si="138">IF(H150="UBIII",$X$2,0)</f>
        <v>0</v>
      </c>
      <c r="X151" s="208">
        <f t="shared" ref="X151:X156" si="139">IF(D151="フレア",IF(M151="コンバート",$X$1,0),IF(X150-V151+W151&gt;$X$3,$X$3-V151,X150-V151+W151))</f>
        <v>8830</v>
      </c>
      <c r="Y151" s="171" t="str">
        <f t="shared" si="131"/>
        <v>SUCCESS</v>
      </c>
      <c r="Z151" s="171" t="str">
        <f t="shared" si="132"/>
        <v>ERROR</v>
      </c>
      <c r="AA151" s="185">
        <f t="shared" ref="AA151:AA156" si="140">B151/C151</f>
        <v>143.33849212856666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496</v>
      </c>
      <c r="B152" s="113">
        <f t="shared" si="135"/>
        <v>56437</v>
      </c>
      <c r="C152" s="118">
        <f t="shared" si="112"/>
        <v>393.61800000000022</v>
      </c>
      <c r="D152" s="181" t="s">
        <v>128</v>
      </c>
      <c r="E152" s="182">
        <f>IF(H151="AFIII",VLOOKUP($D152,Sheet1!$A$34:$K$48,5,FALSE),IF(H151="UBIII",VLOOKUP($D152,Sheet1!$A$34:$K$48,8,FALSE),VLOOKUP($D152,Sheet1!$A$34:$K$48,2,FALSE)))</f>
        <v>3.3460000000000001</v>
      </c>
      <c r="F152" s="182">
        <f>ROUNDDOWN((IF(H151="AFIII",VLOOKUP($D152,Sheet1!$A$34:$K$48,5,FALSE),IF(H151="UBIII",VLOOKUP($D152,Sheet1!$A$34:$K$48,8,FALSE),VLOOKUP($D152,Sheet1!$A$34:$K$48,2,FALSE))))*0.85,2)</f>
        <v>2.84</v>
      </c>
      <c r="G152" s="182">
        <f t="shared" si="136"/>
        <v>3.3460000000000001</v>
      </c>
      <c r="H152" s="183" t="s">
        <v>84</v>
      </c>
      <c r="I152" s="182">
        <v>10</v>
      </c>
      <c r="L152" s="182">
        <f t="shared" si="111"/>
        <v>0.27999999999999758</v>
      </c>
      <c r="O152" s="182">
        <f t="shared" si="124"/>
        <v>-181.21600000000007</v>
      </c>
      <c r="Q152" s="182">
        <f t="shared" si="137"/>
        <v>11.917999999999999</v>
      </c>
      <c r="V152" s="201">
        <f>IF(H151="AFIII",VLOOKUP(D152,Sheet1!$A$4:$H$18,5,FALSE),IF(H151="UBIII",VLOOKUP(D152,Sheet1!$A$4:$H$18,8,FALSE),IF(H151="",VLOOKUP(D152,Sheet1!$A$4:$H$18,2,FALSE),"0")))</f>
        <v>2120</v>
      </c>
      <c r="W152" s="201">
        <f t="shared" si="138"/>
        <v>0</v>
      </c>
      <c r="X152" s="208">
        <f t="shared" si="139"/>
        <v>6710</v>
      </c>
      <c r="Y152" s="171" t="str">
        <f t="shared" si="131"/>
        <v>SUCCESS</v>
      </c>
      <c r="Z152" s="171" t="str">
        <f t="shared" si="132"/>
        <v>ERROR</v>
      </c>
      <c r="AA152" s="185">
        <f t="shared" si="140"/>
        <v>143.38012997373079</v>
      </c>
    </row>
    <row r="153" spans="1:27">
      <c r="A153" s="112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496</v>
      </c>
      <c r="B153" s="113">
        <f t="shared" si="135"/>
        <v>56933</v>
      </c>
      <c r="C153" s="118">
        <f t="shared" si="112"/>
        <v>396.96400000000023</v>
      </c>
      <c r="D153" s="181" t="s">
        <v>128</v>
      </c>
      <c r="E153" s="182">
        <f>IF(H152="AFIII",VLOOKUP($D153,Sheet1!$A$34:$K$48,5,FALSE),IF(H152="UBIII",VLOOKUP($D153,Sheet1!$A$34:$K$48,8,FALSE),VLOOKUP($D153,Sheet1!$A$34:$K$48,2,FALSE)))</f>
        <v>3.3460000000000001</v>
      </c>
      <c r="F153" s="182">
        <f>ROUNDDOWN((IF(H152="AFIII",VLOOKUP($D153,Sheet1!$A$34:$K$48,5,FALSE),IF(H152="UBIII",VLOOKUP($D153,Sheet1!$A$34:$K$48,8,FALSE),VLOOKUP($D153,Sheet1!$A$34:$K$48,2,FALSE))))*0.85,2)</f>
        <v>2.84</v>
      </c>
      <c r="G153" s="182">
        <f t="shared" si="136"/>
        <v>3.3460000000000001</v>
      </c>
      <c r="H153" s="183" t="s">
        <v>84</v>
      </c>
      <c r="I153" s="182">
        <v>10</v>
      </c>
      <c r="L153" s="182">
        <f t="shared" si="111"/>
        <v>-3.0660000000000025</v>
      </c>
      <c r="Q153" s="182">
        <f t="shared" si="137"/>
        <v>8.5719999999999992</v>
      </c>
      <c r="V153" s="201">
        <f>IF(H152="AFIII",VLOOKUP(D153,Sheet1!$A$4:$H$18,5,FALSE),IF(H152="UBIII",VLOOKUP(D153,Sheet1!$A$4:$H$18,8,FALSE),IF(H152="",VLOOKUP(D153,Sheet1!$A$4:$H$18,2,FALSE),"0")))</f>
        <v>2120</v>
      </c>
      <c r="W153" s="201">
        <f t="shared" si="138"/>
        <v>0</v>
      </c>
      <c r="X153" s="208">
        <f t="shared" si="139"/>
        <v>4590</v>
      </c>
      <c r="Y153" s="171" t="str">
        <f t="shared" si="131"/>
        <v>SUCCESS</v>
      </c>
      <c r="Z153" s="171" t="str">
        <f t="shared" si="132"/>
        <v>ERROR</v>
      </c>
      <c r="AA153" s="185">
        <f t="shared" si="140"/>
        <v>143.42106589010581</v>
      </c>
    </row>
    <row r="154" spans="1:27">
      <c r="A154" s="112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496</v>
      </c>
      <c r="B154" s="113">
        <f t="shared" si="135"/>
        <v>57429</v>
      </c>
      <c r="C154" s="118">
        <f t="shared" si="112"/>
        <v>400.31000000000023</v>
      </c>
      <c r="D154" s="181" t="s">
        <v>128</v>
      </c>
      <c r="E154" s="182">
        <f>IF(H153="AFIII",VLOOKUP($D154,Sheet1!$A$34:$K$48,5,FALSE),IF(H153="UBIII",VLOOKUP($D154,Sheet1!$A$34:$K$48,8,FALSE),VLOOKUP($D154,Sheet1!$A$34:$K$48,2,FALSE)))</f>
        <v>3.3460000000000001</v>
      </c>
      <c r="F154" s="182">
        <f>ROUNDDOWN((IF(H153="AFIII",VLOOKUP($D154,Sheet1!$A$34:$K$48,5,FALSE),IF(H153="UBIII",VLOOKUP($D154,Sheet1!$A$34:$K$48,8,FALSE),VLOOKUP($D154,Sheet1!$A$34:$K$48,2,FALSE))))*0.85,2)</f>
        <v>2.84</v>
      </c>
      <c r="G154" s="182">
        <f t="shared" si="136"/>
        <v>3.3460000000000001</v>
      </c>
      <c r="H154" s="183" t="s">
        <v>122</v>
      </c>
      <c r="I154" s="182">
        <v>10</v>
      </c>
      <c r="L154" s="182">
        <f t="shared" si="111"/>
        <v>-6.4120000000000026</v>
      </c>
      <c r="Q154" s="182">
        <f t="shared" si="137"/>
        <v>5.2259999999999991</v>
      </c>
      <c r="V154" s="201">
        <f>IF(H153="AFIII",VLOOKUP(D154,Sheet1!$A$4:$H$18,5,FALSE),IF(H153="UBIII",VLOOKUP(D154,Sheet1!$A$4:$H$18,8,FALSE),IF(H153="",VLOOKUP(D154,Sheet1!$A$4:$H$18,2,FALSE),"0")))</f>
        <v>2120</v>
      </c>
      <c r="W154" s="201">
        <f t="shared" si="138"/>
        <v>0</v>
      </c>
      <c r="X154" s="208">
        <f t="shared" si="139"/>
        <v>2470</v>
      </c>
      <c r="Y154" s="171" t="str">
        <f t="shared" si="131"/>
        <v>SUCCESS</v>
      </c>
      <c r="Z154" s="171" t="str">
        <f t="shared" si="132"/>
        <v>ERROR</v>
      </c>
      <c r="AA154" s="185">
        <f t="shared" si="140"/>
        <v>143.46131747895373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240</v>
      </c>
      <c r="B155" s="113">
        <f t="shared" si="135"/>
        <v>57669</v>
      </c>
      <c r="C155" s="118">
        <f t="shared" si="112"/>
        <v>403.6500000000002</v>
      </c>
      <c r="D155" s="181" t="s">
        <v>12</v>
      </c>
      <c r="E155" s="182">
        <f>IF(H154="AFIII",VLOOKUP($D155,Sheet1!$A$34:$K$48,5,FALSE),IF(H154="UBIII",VLOOKUP($D155,Sheet1!$A$34:$K$48,8,FALSE),VLOOKUP($D155,Sheet1!$A$34:$K$48,2,FALSE)))</f>
        <v>3.34</v>
      </c>
      <c r="F155" s="182">
        <f>ROUNDDOWN((IF(H154="AFIII",VLOOKUP($D155,Sheet1!$A$34:$K$48,5,FALSE),IF(H154="UBIII",VLOOKUP($D155,Sheet1!$A$34:$K$48,8,FALSE),VLOOKUP($D155,Sheet1!$A$34:$K$48,2,FALSE))))*0.85,2)</f>
        <v>2.83</v>
      </c>
      <c r="G155" s="182">
        <f t="shared" si="136"/>
        <v>3.34</v>
      </c>
      <c r="H155" s="183" t="s">
        <v>122</v>
      </c>
      <c r="I155" s="182">
        <v>10</v>
      </c>
      <c r="Q155" s="182">
        <f t="shared" si="137"/>
        <v>1.8859999999999992</v>
      </c>
      <c r="V155" s="201">
        <f>IF(H154="AFIII",VLOOKUP(D155,Sheet1!$A$4:$H$18,5,FALSE),IF(H154="UBIII",VLOOKUP(D155,Sheet1!$A$4:$H$18,8,FALSE),IF(H154="",VLOOKUP(D155,Sheet1!$A$4:$H$18,2,FALSE),"0")))</f>
        <v>1060</v>
      </c>
      <c r="W155" s="201">
        <f t="shared" si="138"/>
        <v>7033</v>
      </c>
      <c r="X155" s="208">
        <f t="shared" si="139"/>
        <v>8443</v>
      </c>
      <c r="Y155" s="171" t="str">
        <f t="shared" si="131"/>
        <v>SUCCESS</v>
      </c>
      <c r="Z155" s="171" t="str">
        <f t="shared" si="132"/>
        <v>ERROR</v>
      </c>
      <c r="AA155" s="185">
        <f t="shared" si="140"/>
        <v>142.86882199925671</v>
      </c>
    </row>
    <row r="156" spans="1:27">
      <c r="A156" s="122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295</v>
      </c>
      <c r="B156" s="123">
        <f t="shared" si="135"/>
        <v>57964</v>
      </c>
      <c r="C156" s="124">
        <f t="shared" si="112"/>
        <v>406.51000000000022</v>
      </c>
      <c r="D156" s="186" t="s">
        <v>19</v>
      </c>
      <c r="E156" s="187">
        <f>IF(H155="AFIII",VLOOKUP($D156,Sheet1!$A$34:$K$48,5,FALSE),IF(H155="UBIII",VLOOKUP($D156,Sheet1!$A$34:$K$48,8,FALSE),VLOOKUP($D156,Sheet1!$A$34:$K$48,2,FALSE)))</f>
        <v>2.86</v>
      </c>
      <c r="F156" s="187">
        <f>ROUNDDOWN((IF(H155="AFIII",VLOOKUP($D156,Sheet1!$A$34:$K$48,5,FALSE),IF(H155="UBIII",VLOOKUP($D156,Sheet1!$A$34:$K$48,8,FALSE),VLOOKUP($D156,Sheet1!$A$34:$K$48,2,FALSE))))*0.85,2)</f>
        <v>2.4300000000000002</v>
      </c>
      <c r="G156" s="187">
        <f t="shared" si="136"/>
        <v>2.86</v>
      </c>
      <c r="H156" s="188" t="s">
        <v>122</v>
      </c>
      <c r="I156" s="187">
        <v>10</v>
      </c>
      <c r="J156" s="188"/>
      <c r="K156" s="187"/>
      <c r="L156" s="187"/>
      <c r="M156" s="188"/>
      <c r="N156" s="187"/>
      <c r="O156" s="187"/>
      <c r="P156" s="188" t="s">
        <v>17</v>
      </c>
      <c r="Q156" s="187">
        <v>21</v>
      </c>
      <c r="R156" s="187"/>
      <c r="S156" s="188"/>
      <c r="T156" s="187"/>
      <c r="U156" s="189"/>
      <c r="V156" s="209">
        <f>IF(H155="AFIII",VLOOKUP(D156,Sheet1!$A$4:$H$18,5,FALSE),IF(H155="UBIII",VLOOKUP(D156,Sheet1!$A$4:$H$18,8,FALSE),IF(H155="",VLOOKUP(D156,Sheet1!$A$4:$H$18,2,FALSE),"0")))</f>
        <v>1060</v>
      </c>
      <c r="W156" s="209">
        <f t="shared" si="138"/>
        <v>7033</v>
      </c>
      <c r="X156" s="210">
        <f t="shared" si="139"/>
        <v>10332</v>
      </c>
      <c r="Y156" s="190" t="str">
        <f t="shared" si="131"/>
        <v>SUCCESS</v>
      </c>
      <c r="Z156" s="190" t="str">
        <f t="shared" si="132"/>
        <v>ERROR</v>
      </c>
      <c r="AA156" s="185">
        <f t="shared" si="140"/>
        <v>142.58935819537027</v>
      </c>
    </row>
    <row r="157" spans="1:27">
      <c r="D157" s="5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X157" s="216"/>
    </row>
    <row r="158" spans="1:27">
      <c r="D158" s="58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X158" s="216"/>
    </row>
    <row r="159" spans="1:27">
      <c r="D159" s="58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X159" s="216"/>
    </row>
    <row r="160" spans="1:27">
      <c r="D160" s="58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X160" s="216"/>
    </row>
    <row r="161" spans="4:24">
      <c r="D161" s="58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X161" s="216"/>
    </row>
    <row r="162" spans="4:24">
      <c r="D162" s="58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X162" s="216"/>
    </row>
    <row r="163" spans="4:24">
      <c r="D163" s="58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X163" s="216"/>
    </row>
    <row r="164" spans="4:24">
      <c r="D164" s="58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X164" s="216"/>
    </row>
    <row r="165" spans="4:24">
      <c r="D165" s="58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X165" s="216"/>
    </row>
    <row r="166" spans="4:24">
      <c r="D166" s="58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X166" s="216"/>
    </row>
    <row r="167" spans="4:24">
      <c r="D167" s="58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X167" s="216"/>
    </row>
    <row r="168" spans="4:24">
      <c r="D168" s="58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X168" s="216"/>
    </row>
    <row r="169" spans="4:24">
      <c r="D169" s="58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X169" s="216"/>
    </row>
    <row r="170" spans="4:24">
      <c r="D170" s="58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X170" s="216"/>
    </row>
    <row r="171" spans="4:24">
      <c r="D171" s="58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X171" s="216"/>
    </row>
    <row r="172" spans="4:24">
      <c r="D172" s="58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X172" s="216"/>
    </row>
    <row r="173" spans="4:24">
      <c r="D173" s="58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X173" s="216"/>
    </row>
    <row r="174" spans="4:24">
      <c r="D174" s="58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X174" s="216"/>
    </row>
    <row r="175" spans="4:24">
      <c r="D175" s="58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X175" s="216"/>
    </row>
    <row r="176" spans="4:24">
      <c r="D176" s="58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X176" s="216"/>
    </row>
    <row r="177" spans="4:24">
      <c r="D177" s="58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X177" s="216"/>
    </row>
    <row r="178" spans="4:24">
      <c r="D178" s="58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X178" s="216"/>
    </row>
    <row r="179" spans="4:24">
      <c r="D179" s="58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X179" s="216"/>
    </row>
    <row r="180" spans="4:24">
      <c r="D180" s="58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X180" s="216"/>
    </row>
    <row r="181" spans="4:24">
      <c r="D181" s="58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X181" s="216"/>
    </row>
    <row r="182" spans="4:24">
      <c r="D182" s="58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X182" s="216"/>
    </row>
    <row r="183" spans="4:24">
      <c r="D183" s="5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X183" s="216"/>
    </row>
    <row r="184" spans="4:24">
      <c r="D184" s="5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X184" s="216"/>
    </row>
    <row r="185" spans="4:24">
      <c r="D185" s="5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X185" s="216"/>
    </row>
    <row r="186" spans="4:24">
      <c r="D186" s="5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X186" s="216"/>
    </row>
    <row r="187" spans="4:24">
      <c r="D187" s="58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X187" s="216"/>
    </row>
    <row r="188" spans="4:24">
      <c r="D188" s="58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X188" s="216"/>
    </row>
    <row r="189" spans="4:24">
      <c r="D189" s="58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X189" s="216"/>
    </row>
    <row r="190" spans="4:24">
      <c r="D190" s="58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X190" s="216"/>
    </row>
    <row r="191" spans="4:24">
      <c r="D191" s="58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X191" s="216"/>
    </row>
    <row r="192" spans="4:24">
      <c r="D192" s="58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X192" s="216"/>
    </row>
    <row r="193" spans="4:24">
      <c r="D193" s="58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X193" s="216"/>
    </row>
    <row r="194" spans="4:24">
      <c r="D194" s="58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X194" s="216"/>
    </row>
    <row r="195" spans="4:24">
      <c r="D195" s="58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X195" s="216"/>
    </row>
    <row r="196" spans="4:24">
      <c r="D196" s="58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X196" s="216"/>
    </row>
    <row r="197" spans="4:24">
      <c r="D197" s="58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X197" s="216"/>
    </row>
    <row r="198" spans="4:24">
      <c r="D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X198" s="216"/>
    </row>
    <row r="199" spans="4:24">
      <c r="D199" s="5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X199" s="216"/>
    </row>
    <row r="200" spans="4:24">
      <c r="D200" s="5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X200" s="216"/>
    </row>
    <row r="201" spans="4:24">
      <c r="D201" s="5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X201" s="216"/>
    </row>
    <row r="202" spans="4:24">
      <c r="D202" s="58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X202" s="216"/>
    </row>
    <row r="203" spans="4:24">
      <c r="D203" s="58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X203" s="216"/>
    </row>
    <row r="204" spans="4:24">
      <c r="D204" s="58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X204" s="216"/>
    </row>
    <row r="205" spans="4:24">
      <c r="D205" s="58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X205" s="216"/>
    </row>
    <row r="206" spans="4:24">
      <c r="D206" s="58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X206" s="216"/>
    </row>
    <row r="207" spans="4:24">
      <c r="D207" s="58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X207" s="216"/>
    </row>
    <row r="208" spans="4:24">
      <c r="D208" s="58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X208" s="216"/>
    </row>
    <row r="209" spans="4:24">
      <c r="D209" s="58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X209" s="216"/>
    </row>
    <row r="210" spans="4:24">
      <c r="D210" s="58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X210" s="216"/>
    </row>
    <row r="211" spans="4:24">
      <c r="D211" s="58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X211" s="216"/>
    </row>
    <row r="212" spans="4:24">
      <c r="D212" s="58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X212" s="216"/>
    </row>
    <row r="213" spans="4:24">
      <c r="D213" s="58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X213" s="216"/>
    </row>
    <row r="214" spans="4:24">
      <c r="D214" s="58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X214" s="216"/>
    </row>
    <row r="215" spans="4:24">
      <c r="D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X215" s="216"/>
    </row>
    <row r="216" spans="4:24">
      <c r="D216" s="58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X216" s="216"/>
    </row>
    <row r="217" spans="4:24">
      <c r="D217" s="58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X217" s="216"/>
    </row>
    <row r="218" spans="4:24">
      <c r="D218" s="58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X218" s="216"/>
    </row>
    <row r="219" spans="4:24">
      <c r="D219" s="58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X219" s="216"/>
    </row>
    <row r="220" spans="4:24">
      <c r="D220" s="58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X220" s="216"/>
    </row>
    <row r="221" spans="4:24">
      <c r="D221" s="58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X221" s="216"/>
    </row>
    <row r="222" spans="4:24">
      <c r="D222" s="58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X222" s="216"/>
    </row>
    <row r="223" spans="4:24">
      <c r="D223" s="58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X223" s="216"/>
    </row>
    <row r="224" spans="4:24">
      <c r="D224" s="58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X224" s="216"/>
    </row>
    <row r="225" spans="4:24">
      <c r="D225" s="58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X225" s="216"/>
    </row>
    <row r="226" spans="4:24">
      <c r="D226" s="58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X226" s="216"/>
    </row>
    <row r="227" spans="4:24">
      <c r="D227" s="58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X227" s="216"/>
    </row>
    <row r="228" spans="4:24">
      <c r="D228" s="58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X228" s="216"/>
    </row>
    <row r="229" spans="4:24">
      <c r="D229" s="58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X229" s="216"/>
    </row>
    <row r="230" spans="4:24">
      <c r="D230" s="58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X230" s="216"/>
    </row>
    <row r="231" spans="4:24">
      <c r="D231" s="58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X231" s="216"/>
    </row>
    <row r="232" spans="4:24">
      <c r="D232" s="58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X232" s="216"/>
    </row>
    <row r="233" spans="4:24">
      <c r="D233" s="58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X233" s="216"/>
    </row>
    <row r="234" spans="4:24">
      <c r="D234" s="58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X234" s="216"/>
    </row>
  </sheetData>
  <mergeCells count="6">
    <mergeCell ref="V2:W2"/>
    <mergeCell ref="K1:L1"/>
    <mergeCell ref="N1:O1"/>
    <mergeCell ref="Q1:R1"/>
    <mergeCell ref="D2:G2"/>
    <mergeCell ref="H2:U2"/>
  </mergeCells>
  <phoneticPr fontId="1"/>
  <conditionalFormatting sqref="P1 H1:J26 D98:W1048576 K2:P26 S1:W138 X3:X156 H19:P25 Q2:R138 H21:O138 H84:P99 D1:G149 D93:O149 D118:X156 D45:X84 D20:O85 Q19:X149 P20:P149">
    <cfRule type="expression" dxfId="18" priority="2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9"/>
  <sheetViews>
    <sheetView topLeftCell="A28" zoomScaleNormal="100" workbookViewId="0">
      <selection activeCell="AA61" sqref="AA61"/>
    </sheetView>
  </sheetViews>
  <sheetFormatPr defaultRowHeight="12"/>
  <cols>
    <col min="1" max="1" width="4.5" style="112" bestFit="1" customWidth="1"/>
    <col min="2" max="2" width="6.875" style="113" bestFit="1" customWidth="1"/>
    <col min="3" max="3" width="7.75" style="112" bestFit="1" customWidth="1"/>
    <col min="4" max="4" width="9" style="181"/>
    <col min="5" max="5" width="5.875" style="182" bestFit="1" customWidth="1"/>
    <col min="6" max="6" width="6.375" style="182" bestFit="1" customWidth="1"/>
    <col min="7" max="7" width="6.375" style="182" customWidth="1"/>
    <col min="8" max="8" width="7" style="183" bestFit="1" customWidth="1"/>
    <col min="9" max="9" width="6.875" style="182" bestFit="1" customWidth="1"/>
    <col min="10" max="10" width="7.625" style="183" bestFit="1" customWidth="1"/>
    <col min="11" max="11" width="6.625" style="182" customWidth="1"/>
    <col min="12" max="12" width="7.125" style="182" customWidth="1"/>
    <col min="13" max="13" width="7.25" style="183" bestFit="1" customWidth="1"/>
    <col min="14" max="14" width="6.625" style="182" customWidth="1"/>
    <col min="15" max="15" width="7.125" style="182" customWidth="1"/>
    <col min="16" max="16" width="7.25" style="183" bestFit="1" customWidth="1"/>
    <col min="17" max="17" width="6.625" style="182" customWidth="1"/>
    <col min="18" max="18" width="7.125" style="182" customWidth="1"/>
    <col min="19" max="19" width="8.75" style="183" bestFit="1" customWidth="1"/>
    <col min="20" max="20" width="6.625" style="182" customWidth="1"/>
    <col min="21" max="21" width="7.125" style="184" customWidth="1"/>
    <col min="22" max="23" width="7.625" style="215" customWidth="1"/>
    <col min="24" max="24" width="7.625" style="208" customWidth="1"/>
    <col min="25" max="25" width="10" style="171" bestFit="1" customWidth="1"/>
    <col min="26" max="26" width="8.5" style="171" bestFit="1" customWidth="1"/>
    <col min="27" max="16384" width="9" style="58"/>
  </cols>
  <sheetData>
    <row r="1" spans="1:27">
      <c r="D1" s="105" t="s">
        <v>113</v>
      </c>
      <c r="E1" s="101">
        <f>Sheet1!E58</f>
        <v>2.39</v>
      </c>
      <c r="F1" s="101">
        <f>Sheet1!G58</f>
        <v>2.0299999999999998</v>
      </c>
      <c r="G1" s="218" t="s">
        <v>146</v>
      </c>
      <c r="H1" s="219">
        <v>261</v>
      </c>
      <c r="I1" s="234" t="s">
        <v>115</v>
      </c>
      <c r="J1" s="101">
        <f>3</f>
        <v>3</v>
      </c>
      <c r="K1" s="307" t="s">
        <v>144</v>
      </c>
      <c r="L1" s="307"/>
      <c r="M1" s="101">
        <v>0</v>
      </c>
      <c r="N1" s="307" t="s">
        <v>145</v>
      </c>
      <c r="O1" s="307"/>
      <c r="P1" s="102">
        <f>H1+J1+M1</f>
        <v>264</v>
      </c>
      <c r="Q1" s="307" t="s">
        <v>116</v>
      </c>
      <c r="R1" s="307"/>
      <c r="S1" s="101">
        <v>12.5</v>
      </c>
      <c r="T1" s="234" t="s">
        <v>117</v>
      </c>
      <c r="U1" s="104">
        <f>Sheet1!B27</f>
        <v>884</v>
      </c>
      <c r="V1" s="217" t="s">
        <v>118</v>
      </c>
      <c r="W1" s="202">
        <v>218</v>
      </c>
      <c r="X1" s="203">
        <f>ROUNDDOWN(X3*0.3,0)</f>
        <v>3407</v>
      </c>
      <c r="Y1" s="171" t="s">
        <v>123</v>
      </c>
    </row>
    <row r="2" spans="1:27">
      <c r="D2" s="310" t="s">
        <v>32</v>
      </c>
      <c r="E2" s="311"/>
      <c r="F2" s="311"/>
      <c r="G2" s="312"/>
      <c r="H2" s="313" t="s">
        <v>112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309"/>
      <c r="W2" s="309"/>
      <c r="X2" s="203">
        <v>7033</v>
      </c>
      <c r="Y2" s="171" t="s">
        <v>124</v>
      </c>
    </row>
    <row r="3" spans="1:27">
      <c r="A3" s="114" t="s">
        <v>33</v>
      </c>
      <c r="B3" s="115" t="s">
        <v>45</v>
      </c>
      <c r="C3" s="114" t="s">
        <v>127</v>
      </c>
      <c r="D3" s="236" t="s">
        <v>107</v>
      </c>
      <c r="E3" s="173" t="s">
        <v>108</v>
      </c>
      <c r="F3" s="173" t="s">
        <v>120</v>
      </c>
      <c r="G3" s="173" t="s">
        <v>215</v>
      </c>
      <c r="H3" s="237" t="s">
        <v>107</v>
      </c>
      <c r="I3" s="173" t="s">
        <v>108</v>
      </c>
      <c r="J3" s="237" t="s">
        <v>107</v>
      </c>
      <c r="K3" s="173" t="s">
        <v>108</v>
      </c>
      <c r="L3" s="173" t="s">
        <v>119</v>
      </c>
      <c r="M3" s="237" t="s">
        <v>107</v>
      </c>
      <c r="N3" s="173" t="s">
        <v>108</v>
      </c>
      <c r="O3" s="173" t="s">
        <v>119</v>
      </c>
      <c r="P3" s="237" t="s">
        <v>107</v>
      </c>
      <c r="Q3" s="173" t="s">
        <v>108</v>
      </c>
      <c r="R3" s="173" t="s">
        <v>119</v>
      </c>
      <c r="S3" s="237" t="s">
        <v>107</v>
      </c>
      <c r="T3" s="173" t="s">
        <v>108</v>
      </c>
      <c r="U3" s="175" t="s">
        <v>119</v>
      </c>
      <c r="V3" s="235" t="s">
        <v>110</v>
      </c>
      <c r="W3" s="235" t="s">
        <v>111</v>
      </c>
      <c r="X3" s="205">
        <f>U1*S1+ROUNDDOWN((P1-W1)/W1/7.53*U1*S1,0)</f>
        <v>11359</v>
      </c>
      <c r="Y3" s="137" t="s">
        <v>143</v>
      </c>
      <c r="Z3" s="137" t="s">
        <v>142</v>
      </c>
    </row>
    <row r="4" spans="1:27" ht="12.75" thickBot="1">
      <c r="A4" s="116">
        <v>0</v>
      </c>
      <c r="B4" s="117">
        <v>0</v>
      </c>
      <c r="C4" s="116">
        <v>0</v>
      </c>
      <c r="D4" s="176"/>
      <c r="E4" s="177"/>
      <c r="F4" s="177"/>
      <c r="G4" s="177"/>
      <c r="H4" s="178"/>
      <c r="I4" s="177"/>
      <c r="J4" s="178"/>
      <c r="K4" s="177"/>
      <c r="L4" s="177"/>
      <c r="M4" s="178"/>
      <c r="N4" s="177"/>
      <c r="O4" s="177"/>
      <c r="P4" s="178"/>
      <c r="Q4" s="177"/>
      <c r="R4" s="177"/>
      <c r="S4" s="318" t="s">
        <v>87</v>
      </c>
      <c r="T4" s="316">
        <v>30</v>
      </c>
      <c r="U4" s="317">
        <v>90</v>
      </c>
      <c r="V4" s="206" t="str">
        <f>IF(H3="AFIII",VLOOKUP(D4,Sheet1!$A$4:$H$18,5,FALSE),IF(H3="UBIII",VLOOKUP(D4,Sheet1!$A$4:$H$18,8,FALSE),IF(H3="",VLOOKUP(D4,Sheet1!$A$4:$H$18,2,FALSE),"0")))</f>
        <v>0</v>
      </c>
      <c r="W4" s="206">
        <f>IF(H4="UBIII",$X$2,0)</f>
        <v>0</v>
      </c>
      <c r="X4" s="207">
        <f>IF(D4="フレア",IF(M4="コンバート",$X$1,0),IF(X3-V4+W4&gt;$X$3,$X$3-V4,X3-V4+W4))</f>
        <v>11359</v>
      </c>
      <c r="Y4" s="180" t="str">
        <f>IF(X3-V4&lt;0,"ERROR","SUCCESS")</f>
        <v>SUCCESS</v>
      </c>
      <c r="Z4" s="180"/>
      <c r="AA4" s="58" t="s">
        <v>158</v>
      </c>
    </row>
    <row r="5" spans="1:27" ht="12.75" thickTop="1">
      <c r="A5" s="112">
        <f>ROUNDDOWN(IF(N4-G5&gt;0,(IF(H4="AFIII",VLOOKUP(D5,Sheet1!$K$4:$S$19,5,FALSE),IF(H4="UBIII",VLOOKUP(D5,Sheet1!$K$4:$S$19,8,FALSE),VLOOKUP(D5,Sheet1!$K$4:$S$19,2,FALSE)))*1.2),IF(H4="AFIII",VLOOKUP(D5,Sheet1!$K$4:$S$19,5,FALSE),IF(H4="UBIII",VLOOKUP(D5,Sheet1!$K$4:$S$19,8,FALSE),VLOOKUP(D5,Sheet1!$K$4:$S$19,2,FALSE)))),0)</f>
        <v>240</v>
      </c>
      <c r="B5" s="113">
        <f t="shared" ref="B5:B68" si="0">B4+A5</f>
        <v>240</v>
      </c>
      <c r="C5" s="118">
        <f t="shared" ref="C5:C11" si="1">C4+G5</f>
        <v>2.83</v>
      </c>
      <c r="D5" s="181" t="s">
        <v>12</v>
      </c>
      <c r="E5" s="182">
        <f>IF(H4="AFIII",VLOOKUP($D5,Sheet1!$A$34:$K$48,5,FALSE),IF(H4="UBIII",VLOOKUP($D5,Sheet1!$A$34:$K$48,8,FALSE),VLOOKUP($D5,Sheet1!$A$34:$K$48,2,FALSE)))</f>
        <v>3.34</v>
      </c>
      <c r="F5" s="182">
        <f>ROUNDDOWN((IF(H4="AFIII",VLOOKUP($D5,Sheet1!$A$34:$K$48,5,FALSE),IF(H4="UBIII",VLOOKUP($D5,Sheet1!$A$34:$K$48,8,FALSE),VLOOKUP($D5,Sheet1!$A$34:$K$48,2,FALSE))))*0.85,2)</f>
        <v>2.83</v>
      </c>
      <c r="G5" s="182">
        <f>IF(M4="迅速",IF(S4="黒魔紋",$F$1,$E$1),IF(S4="黒魔紋",IF(F5&lt;$F$1,$F$1,F5),IF(E5&lt;$E$1,$E$1,E5)))</f>
        <v>2.83</v>
      </c>
      <c r="H5" s="183" t="s">
        <v>122</v>
      </c>
      <c r="I5" s="182">
        <v>10</v>
      </c>
      <c r="M5" s="183" t="s">
        <v>97</v>
      </c>
      <c r="O5" s="182">
        <v>120</v>
      </c>
      <c r="S5" s="183" t="s">
        <v>87</v>
      </c>
      <c r="T5" s="182">
        <f>T4-G5</f>
        <v>27.17</v>
      </c>
      <c r="U5" s="184">
        <f>U4-G5</f>
        <v>87.17</v>
      </c>
      <c r="V5" s="201">
        <f>IF(H4="AFIII",VLOOKUP(D5,Sheet1!$A$4:$H$18,5,FALSE),IF(H4="UBIII",VLOOKUP(D5,Sheet1!$A$4:$H$18,8,FALSE),IF(H4="",VLOOKUP(D5,Sheet1!$A$4:$H$18,2,FALSE),"0")))</f>
        <v>1060</v>
      </c>
      <c r="W5" s="201">
        <f t="shared" ref="W5:W68" si="2">IF(H4="UBIII",$X$2,0)</f>
        <v>0</v>
      </c>
      <c r="X5" s="208">
        <f t="shared" ref="X5:X11" si="3">IF(M5="コンバート",(IF(D5="フレア",0,IF(X4-V5+W5&gt;$X$3,$X$3-V5,X4-V5+W5)))+$X$1,IF(D5="フレア",0,IF(X4-V5+W5&gt;$X$3,$X$3-V5,X4-V5+W5)))</f>
        <v>10299</v>
      </c>
      <c r="Y5" s="171" t="str">
        <f t="shared" ref="Y5:Y68" si="4">IF(X4-V5&lt;0,"ERROR","SUCCESS")</f>
        <v>SUCCESS</v>
      </c>
      <c r="Z5" s="171" t="str">
        <f t="shared" ref="Z5:Z68" si="5">IF(K4-G5&lt;0,"ERROR","SUCCESS")</f>
        <v>ERROR</v>
      </c>
      <c r="AA5" s="185">
        <f t="shared" ref="AA5:AA68" si="6">B5/C5</f>
        <v>84.805653710247341</v>
      </c>
    </row>
    <row r="6" spans="1:27">
      <c r="A6" s="112">
        <f>ROUNDDOWN(IF(N5-G6&gt;0,(IF(H5="AFIII",VLOOKUP(D6,Sheet1!$K$4:$S$19,5,FALSE),IF(H5="UBIII",VLOOKUP(D6,Sheet1!$K$4:$S$19,8,FALSE),VLOOKUP(D6,Sheet1!$K$4:$S$19,2,FALSE)))*1.2),IF(H5="AFIII",VLOOKUP(D6,Sheet1!$K$4:$S$19,5,FALSE),IF(H5="UBIII",VLOOKUP(D6,Sheet1!$K$4:$S$19,8,FALSE),VLOOKUP(D6,Sheet1!$K$4:$S$19,2,FALSE)))),0)</f>
        <v>168</v>
      </c>
      <c r="B6" s="113">
        <f t="shared" si="0"/>
        <v>408</v>
      </c>
      <c r="C6" s="118">
        <f t="shared" si="1"/>
        <v>4.8599999999999994</v>
      </c>
      <c r="D6" s="181" t="s">
        <v>4</v>
      </c>
      <c r="E6" s="182">
        <f>IF(H5="AFIII",VLOOKUP($D6,Sheet1!$A$34:$K$48,5,FALSE),IF(H5="UBIII",VLOOKUP($D6,Sheet1!$A$34:$K$48,8,FALSE),VLOOKUP($D6,Sheet1!$A$34:$K$48,2,FALSE)))</f>
        <v>1.67</v>
      </c>
      <c r="F6" s="182">
        <f>ROUNDDOWN((IF(H5="AFIII",VLOOKUP($D6,Sheet1!$A$34:$K$48,5,FALSE),IF(H5="UBIII",VLOOKUP($D6,Sheet1!$A$34:$K$48,8,FALSE),VLOOKUP($D6,Sheet1!$A$34:$K$48,2,FALSE))))*0.85,2)</f>
        <v>1.41</v>
      </c>
      <c r="G6" s="182">
        <f t="shared" ref="G5:G17" si="7">IF(M5="迅速",IF(S5="黒魔紋",$F$1,$E$1),IF(S5="黒魔紋",IF(F6&lt;$F$1,$F$1,F6),IF(E6&lt;$E$1,$E$1,E6)))</f>
        <v>2.0299999999999998</v>
      </c>
      <c r="H6" s="183" t="s">
        <v>84</v>
      </c>
      <c r="I6" s="182">
        <v>10</v>
      </c>
      <c r="J6" s="183" t="s">
        <v>105</v>
      </c>
      <c r="K6" s="182">
        <v>30</v>
      </c>
      <c r="L6" s="182">
        <v>60</v>
      </c>
      <c r="S6" s="183" t="s">
        <v>87</v>
      </c>
      <c r="T6" s="182">
        <f t="shared" ref="T6:T19" si="8">T5-G6</f>
        <v>25.14</v>
      </c>
      <c r="U6" s="184">
        <f t="shared" ref="U6:U42" si="9">U5-G6</f>
        <v>85.14</v>
      </c>
      <c r="V6" s="201">
        <f>IF(H5="AFIII",VLOOKUP(D6,Sheet1!$A$4:$H$18,5,FALSE),IF(H5="UBIII",VLOOKUP(D6,Sheet1!$A$4:$H$18,8,FALSE),IF(H5="",VLOOKUP(D6,Sheet1!$A$4:$H$18,2,FALSE),"0")))</f>
        <v>442</v>
      </c>
      <c r="W6" s="201">
        <f t="shared" si="2"/>
        <v>7033</v>
      </c>
      <c r="X6" s="208">
        <f t="shared" si="3"/>
        <v>10917</v>
      </c>
      <c r="Y6" s="171" t="str">
        <f t="shared" si="4"/>
        <v>SUCCESS</v>
      </c>
      <c r="Z6" s="171" t="str">
        <f t="shared" si="5"/>
        <v>ERROR</v>
      </c>
      <c r="AA6" s="185">
        <f t="shared" si="6"/>
        <v>83.950617283950621</v>
      </c>
    </row>
    <row r="7" spans="1:27">
      <c r="A7" s="112">
        <f>ROUNDDOWN(IF(N6-G7&gt;0,(IF(H6="AFIII",VLOOKUP(D7,Sheet1!$K$4:$S$19,5,FALSE),IF(H6="UBIII",VLOOKUP(D7,Sheet1!$K$4:$S$19,8,FALSE),VLOOKUP(D7,Sheet1!$K$4:$S$19,2,FALSE)))*1.2),IF(H6="AFIII",VLOOKUP(D7,Sheet1!$K$4:$S$19,5,FALSE),IF(H6="UBIII",VLOOKUP(D7,Sheet1!$K$4:$S$19,8,FALSE),VLOOKUP(D7,Sheet1!$K$4:$S$19,2,FALSE)))),0)</f>
        <v>504</v>
      </c>
      <c r="B7" s="113">
        <f t="shared" si="0"/>
        <v>912</v>
      </c>
      <c r="C7" s="118">
        <f t="shared" si="1"/>
        <v>7.2899999999999991</v>
      </c>
      <c r="D7" s="181" t="s">
        <v>6</v>
      </c>
      <c r="E7" s="182">
        <f>IF(H6="AFIII",VLOOKUP($D7,Sheet1!$A$34:$K$48,5,FALSE),IF(H6="UBIII",VLOOKUP($D7,Sheet1!$A$34:$K$48,8,FALSE),VLOOKUP($D7,Sheet1!$A$34:$K$48,2,FALSE)))</f>
        <v>2.86</v>
      </c>
      <c r="F7" s="182">
        <f>ROUNDDOWN((IF(H6="AFIII",VLOOKUP($D7,Sheet1!$A$34:$K$48,5,FALSE),IF(H6="UBIII",VLOOKUP($D7,Sheet1!$A$34:$K$48,8,FALSE),VLOOKUP($D7,Sheet1!$A$34:$K$48,2,FALSE))))*0.85,2)</f>
        <v>2.4300000000000002</v>
      </c>
      <c r="G7" s="182">
        <f>IF(M6="迅速",IF(S6="黒魔紋",$F$1,$E$1),IF(S6="黒魔紋",IF(F7&lt;$F$1,$F$1,F7),IF(E7&lt;$E$1,$E$1,E7)))</f>
        <v>2.4300000000000002</v>
      </c>
      <c r="H7" s="183" t="s">
        <v>84</v>
      </c>
      <c r="I7" s="182">
        <f>I6-G7</f>
        <v>7.57</v>
      </c>
      <c r="K7" s="182">
        <f>K6-G7</f>
        <v>27.57</v>
      </c>
      <c r="L7" s="182">
        <f>L6-G7</f>
        <v>57.57</v>
      </c>
      <c r="M7" s="183" t="s">
        <v>96</v>
      </c>
      <c r="N7" s="182">
        <v>20</v>
      </c>
      <c r="O7" s="182">
        <v>180</v>
      </c>
      <c r="S7" s="183" t="s">
        <v>87</v>
      </c>
      <c r="T7" s="182">
        <f t="shared" si="8"/>
        <v>22.71</v>
      </c>
      <c r="U7" s="184">
        <f t="shared" si="9"/>
        <v>82.71</v>
      </c>
      <c r="V7" s="201">
        <f>IF(H6="AFIII",VLOOKUP(D7,Sheet1!$A$4:$H$18,5,FALSE),IF(H6="UBIII",VLOOKUP(D7,Sheet1!$A$4:$H$18,8,FALSE),IF(H6="",VLOOKUP(D7,Sheet1!$A$4:$H$18,2,FALSE),"0")))</f>
        <v>1768</v>
      </c>
      <c r="W7" s="201">
        <f t="shared" si="2"/>
        <v>0</v>
      </c>
      <c r="X7" s="208">
        <f t="shared" si="3"/>
        <v>9149</v>
      </c>
      <c r="Y7" s="171" t="str">
        <f t="shared" si="4"/>
        <v>SUCCESS</v>
      </c>
      <c r="Z7" s="171" t="str">
        <f t="shared" si="5"/>
        <v>SUCCESS</v>
      </c>
      <c r="AA7" s="185">
        <f t="shared" si="6"/>
        <v>125.10288065843623</v>
      </c>
    </row>
    <row r="8" spans="1:27">
      <c r="A8" s="112">
        <f>ROUNDDOWN(IF(N7-G8&gt;0,(IF(H7="AFIII",VLOOKUP(D8,Sheet1!$K$4:$S$19,5,FALSE),IF(H7="UBIII",VLOOKUP(D8,Sheet1!$K$4:$S$19,8,FALSE),VLOOKUP(D8,Sheet1!$K$4:$S$19,2,FALSE)))*1.2),IF(H7="AFIII",VLOOKUP(D8,Sheet1!$K$4:$S$19,5,FALSE),IF(H7="UBIII",VLOOKUP(D8,Sheet1!$K$4:$S$19,8,FALSE),VLOOKUP(D8,Sheet1!$K$4:$S$19,2,FALSE)))),0)</f>
        <v>604</v>
      </c>
      <c r="B8" s="113">
        <f t="shared" si="0"/>
        <v>1516</v>
      </c>
      <c r="C8" s="118">
        <f t="shared" si="1"/>
        <v>9.7199999999999989</v>
      </c>
      <c r="D8" s="181" t="s">
        <v>6</v>
      </c>
      <c r="E8" s="182">
        <f>IF(H7="AFIII",VLOOKUP($D8,Sheet1!$A$34:$K$48,5,FALSE),IF(H7="UBIII",VLOOKUP($D8,Sheet1!$A$34:$K$48,8,FALSE),VLOOKUP($D8,Sheet1!$A$34:$K$48,2,FALSE)))</f>
        <v>2.86</v>
      </c>
      <c r="F8" s="182">
        <f>ROUNDDOWN((IF(H7="AFIII",VLOOKUP($D8,Sheet1!$A$34:$K$48,5,FALSE),IF(H7="UBIII",VLOOKUP($D8,Sheet1!$A$34:$K$48,8,FALSE),VLOOKUP($D8,Sheet1!$A$34:$K$48,2,FALSE))))*0.85,2)</f>
        <v>2.4300000000000002</v>
      </c>
      <c r="G8" s="182">
        <f t="shared" ref="G8:G20" si="10">IF(M7="迅速",IF(S7="黒魔紋",$F$1,$E$1),IF(S7="黒魔紋",IF(F8&lt;$F$1,$F$1,F8),IF(E8&lt;$E$1,$E$1,E8)))</f>
        <v>2.4300000000000002</v>
      </c>
      <c r="H8" s="183" t="s">
        <v>84</v>
      </c>
      <c r="I8" s="182">
        <f t="shared" ref="I8" si="11">I7-G8</f>
        <v>5.1400000000000006</v>
      </c>
      <c r="K8" s="182">
        <f t="shared" ref="K8:K9" si="12">K7-G8</f>
        <v>25.14</v>
      </c>
      <c r="L8" s="182">
        <f t="shared" ref="L8:L9" si="13">L7-G8</f>
        <v>55.14</v>
      </c>
      <c r="N8" s="182">
        <f>N7-G8</f>
        <v>17.57</v>
      </c>
      <c r="O8" s="182">
        <f>O7-G8</f>
        <v>177.57</v>
      </c>
      <c r="P8" s="183" t="s">
        <v>131</v>
      </c>
      <c r="R8" s="182">
        <v>60</v>
      </c>
      <c r="S8" s="183" t="s">
        <v>87</v>
      </c>
      <c r="T8" s="182">
        <f t="shared" si="8"/>
        <v>20.28</v>
      </c>
      <c r="U8" s="184">
        <f t="shared" si="9"/>
        <v>80.279999999999987</v>
      </c>
      <c r="V8" s="201">
        <f>IF(H7="AFIII",VLOOKUP(D8,Sheet1!$A$4:$H$18,5,FALSE),IF(H7="UBIII",VLOOKUP(D8,Sheet1!$A$4:$H$18,8,FALSE),IF(H7="",VLOOKUP(D8,Sheet1!$A$4:$H$18,2,FALSE),"0")))</f>
        <v>1768</v>
      </c>
      <c r="W8" s="201">
        <f t="shared" si="2"/>
        <v>0</v>
      </c>
      <c r="X8" s="208">
        <f t="shared" si="3"/>
        <v>7381</v>
      </c>
      <c r="Y8" s="171" t="str">
        <f t="shared" si="4"/>
        <v>SUCCESS</v>
      </c>
      <c r="Z8" s="171" t="str">
        <f t="shared" si="5"/>
        <v>SUCCESS</v>
      </c>
      <c r="AA8" s="185">
        <f t="shared" si="6"/>
        <v>155.96707818930042</v>
      </c>
    </row>
    <row r="9" spans="1:27">
      <c r="A9" s="112">
        <f>ROUNDDOWN(IF(N8-G9&gt;0,(IF(H8="AFIII",VLOOKUP(D9,Sheet1!$K$4:$S$19,5,FALSE),IF(H8="UBIII",VLOOKUP(D9,Sheet1!$K$4:$S$19,8,FALSE),VLOOKUP(D9,Sheet1!$K$4:$S$19,2,FALSE)))*1.2),IF(H8="AFIII",VLOOKUP(D9,Sheet1!$K$4:$S$19,5,FALSE),IF(H8="UBIII",VLOOKUP(D9,Sheet1!$K$4:$S$19,8,FALSE),VLOOKUP(D9,Sheet1!$K$4:$S$19,2,FALSE)))),0)</f>
        <v>388</v>
      </c>
      <c r="B9" s="113">
        <f t="shared" si="0"/>
        <v>1904</v>
      </c>
      <c r="C9" s="118">
        <f t="shared" si="1"/>
        <v>11.749999999999998</v>
      </c>
      <c r="D9" s="181" t="s">
        <v>1</v>
      </c>
      <c r="E9" s="182">
        <f>IF(H8="AFIII",VLOOKUP($D9,Sheet1!$A$34:$K$48,5,FALSE),IF(H8="UBIII",VLOOKUP($D9,Sheet1!$A$34:$K$48,8,FALSE),VLOOKUP($D9,Sheet1!$A$34:$K$48,2,FALSE)))</f>
        <v>2.39</v>
      </c>
      <c r="F9" s="182">
        <f>ROUNDDOWN((IF(H8="AFIII",VLOOKUP($D9,Sheet1!$A$34:$K$48,5,FALSE),IF(H8="UBIII",VLOOKUP($D9,Sheet1!$A$34:$K$48,8,FALSE),VLOOKUP($D9,Sheet1!$A$34:$K$48,2,FALSE))))*0.85,2)</f>
        <v>2.0299999999999998</v>
      </c>
      <c r="G9" s="182">
        <f t="shared" si="10"/>
        <v>2.0299999999999998</v>
      </c>
      <c r="H9" s="183" t="s">
        <v>84</v>
      </c>
      <c r="I9" s="182">
        <v>10</v>
      </c>
      <c r="K9" s="182">
        <f t="shared" si="12"/>
        <v>23.11</v>
      </c>
      <c r="L9" s="182">
        <f t="shared" si="13"/>
        <v>53.11</v>
      </c>
      <c r="N9" s="182">
        <f t="shared" ref="N9" si="14">N8-G9</f>
        <v>15.540000000000001</v>
      </c>
      <c r="O9" s="182">
        <f t="shared" ref="O9:O55" si="15">O8-G9</f>
        <v>175.54</v>
      </c>
      <c r="R9" s="182">
        <f t="shared" ref="R9:R11" si="16">R8-G9</f>
        <v>57.97</v>
      </c>
      <c r="S9" s="183" t="s">
        <v>87</v>
      </c>
      <c r="T9" s="182">
        <f t="shared" si="8"/>
        <v>18.25</v>
      </c>
      <c r="U9" s="184">
        <f t="shared" si="9"/>
        <v>78.249999999999986</v>
      </c>
      <c r="V9" s="201">
        <f>IF(H8="AFIII",VLOOKUP(D9,Sheet1!$A$4:$H$18,5,FALSE),IF(H8="UBIII",VLOOKUP(D9,Sheet1!$A$4:$H$18,8,FALSE),IF(H8="",VLOOKUP(D9,Sheet1!$A$4:$H$18,2,FALSE),"0")))</f>
        <v>2120</v>
      </c>
      <c r="W9" s="201">
        <f t="shared" si="2"/>
        <v>0</v>
      </c>
      <c r="X9" s="208">
        <f t="shared" si="3"/>
        <v>5261</v>
      </c>
      <c r="Y9" s="171" t="str">
        <f t="shared" si="4"/>
        <v>SUCCESS</v>
      </c>
      <c r="Z9" s="171" t="str">
        <f t="shared" si="5"/>
        <v>SUCCESS</v>
      </c>
      <c r="AA9" s="185">
        <f t="shared" si="6"/>
        <v>162.04255319148939</v>
      </c>
    </row>
    <row r="10" spans="1:27">
      <c r="A10" s="112">
        <f>ROUNDDOWN(IF(N9-G10&gt;0,(IF(H9="AFIII",VLOOKUP(D10,Sheet1!$K$4:$S$19,5,FALSE),IF(H9="UBIII",VLOOKUP(D10,Sheet1!$K$4:$S$19,8,FALSE),VLOOKUP(D10,Sheet1!$K$4:$S$19,2,FALSE)))*1.2),IF(H9="AFIII",VLOOKUP(D10,Sheet1!$K$4:$S$19,5,FALSE),IF(H9="UBIII",VLOOKUP(D10,Sheet1!$K$4:$S$19,8,FALSE),VLOOKUP(D10,Sheet1!$K$4:$S$19,2,FALSE)))),0)</f>
        <v>604</v>
      </c>
      <c r="B10" s="113">
        <f t="shared" si="0"/>
        <v>2508</v>
      </c>
      <c r="C10" s="118">
        <f t="shared" si="1"/>
        <v>14.179999999999998</v>
      </c>
      <c r="D10" s="181" t="s">
        <v>6</v>
      </c>
      <c r="E10" s="182">
        <f>IF(H9="AFIII",VLOOKUP($D10,Sheet1!$A$34:$K$48,5,FALSE),IF(H9="UBIII",VLOOKUP($D10,Sheet1!$A$34:$K$48,8,FALSE),VLOOKUP($D10,Sheet1!$A$34:$K$48,2,FALSE)))</f>
        <v>2.86</v>
      </c>
      <c r="F10" s="182">
        <f>ROUNDDOWN((IF(H9="AFIII",VLOOKUP($D10,Sheet1!$A$34:$K$48,5,FALSE),IF(H9="UBIII",VLOOKUP($D10,Sheet1!$A$34:$K$48,8,FALSE),VLOOKUP($D10,Sheet1!$A$34:$K$48,2,FALSE))))*0.85,2)</f>
        <v>2.4300000000000002</v>
      </c>
      <c r="G10" s="182">
        <f t="shared" si="10"/>
        <v>2.4300000000000002</v>
      </c>
      <c r="H10" s="183" t="s">
        <v>84</v>
      </c>
      <c r="I10" s="182">
        <f>I9-G10</f>
        <v>7.57</v>
      </c>
      <c r="K10" s="182">
        <f>K9-G10</f>
        <v>20.68</v>
      </c>
      <c r="L10" s="182">
        <f>L9-G10</f>
        <v>50.68</v>
      </c>
      <c r="N10" s="182">
        <f>N9-G10</f>
        <v>13.110000000000001</v>
      </c>
      <c r="O10" s="182">
        <f t="shared" si="15"/>
        <v>173.10999999999999</v>
      </c>
      <c r="R10" s="182">
        <f t="shared" si="16"/>
        <v>55.54</v>
      </c>
      <c r="S10" s="183" t="s">
        <v>87</v>
      </c>
      <c r="T10" s="182">
        <f t="shared" si="8"/>
        <v>15.82</v>
      </c>
      <c r="U10" s="184">
        <f t="shared" si="9"/>
        <v>75.819999999999979</v>
      </c>
      <c r="V10" s="201">
        <f>IF(H9="AFIII",VLOOKUP(D10,Sheet1!$A$4:$H$18,5,FALSE),IF(H9="UBIII",VLOOKUP(D10,Sheet1!$A$4:$H$18,8,FALSE),IF(H9="",VLOOKUP(D10,Sheet1!$A$4:$H$18,2,FALSE),"0")))</f>
        <v>1768</v>
      </c>
      <c r="W10" s="201">
        <f t="shared" si="2"/>
        <v>0</v>
      </c>
      <c r="X10" s="208">
        <f t="shared" si="3"/>
        <v>3493</v>
      </c>
      <c r="Y10" s="171" t="str">
        <f t="shared" si="4"/>
        <v>SUCCESS</v>
      </c>
      <c r="Z10" s="171" t="str">
        <f t="shared" si="5"/>
        <v>SUCCESS</v>
      </c>
      <c r="AA10" s="185">
        <f t="shared" si="6"/>
        <v>176.86882933709452</v>
      </c>
    </row>
    <row r="11" spans="1:27">
      <c r="A11" s="112">
        <f>ROUNDDOWN(IF(N10-G11&gt;0,(IF(H10="AFIII",VLOOKUP(D11,Sheet1!$K$4:$S$19,5,FALSE),IF(H10="UBIII",VLOOKUP(D11,Sheet1!$K$4:$S$19,8,FALSE),VLOOKUP(D11,Sheet1!$K$4:$S$19,2,FALSE)))*1.2),IF(H10="AFIII",VLOOKUP(D11,Sheet1!$K$4:$S$19,5,FALSE),IF(H10="UBIII",VLOOKUP(D11,Sheet1!$K$4:$S$19,8,FALSE),VLOOKUP(D11,Sheet1!$K$4:$S$19,2,FALSE)))),0)</f>
        <v>604</v>
      </c>
      <c r="B11" s="113">
        <f t="shared" si="0"/>
        <v>3112</v>
      </c>
      <c r="C11" s="118">
        <f t="shared" si="1"/>
        <v>16.61</v>
      </c>
      <c r="D11" s="181" t="s">
        <v>6</v>
      </c>
      <c r="E11" s="182">
        <f>IF(H10="AFIII",VLOOKUP($D11,Sheet1!$A$34:$K$48,5,FALSE),IF(H10="UBIII",VLOOKUP($D11,Sheet1!$A$34:$K$48,8,FALSE),VLOOKUP($D11,Sheet1!$A$34:$K$48,2,FALSE)))</f>
        <v>2.86</v>
      </c>
      <c r="F11" s="182">
        <f>ROUNDDOWN((IF(H10="AFIII",VLOOKUP($D11,Sheet1!$A$34:$K$48,5,FALSE),IF(H10="UBIII",VLOOKUP($D11,Sheet1!$A$34:$K$48,8,FALSE),VLOOKUP($D11,Sheet1!$A$34:$K$48,2,FALSE))))*0.85,2)</f>
        <v>2.4300000000000002</v>
      </c>
      <c r="G11" s="182">
        <f t="shared" si="10"/>
        <v>2.4300000000000002</v>
      </c>
      <c r="H11" s="183" t="s">
        <v>84</v>
      </c>
      <c r="I11" s="182">
        <f>I10-G11</f>
        <v>5.1400000000000006</v>
      </c>
      <c r="K11" s="182">
        <f t="shared" ref="K11:K16" si="17">K10-G11</f>
        <v>18.25</v>
      </c>
      <c r="L11" s="182">
        <f t="shared" ref="L11:L40" si="18">L10-G11</f>
        <v>48.25</v>
      </c>
      <c r="N11" s="182">
        <f t="shared" ref="N11:N16" si="19">N10-G11</f>
        <v>10.680000000000001</v>
      </c>
      <c r="O11" s="182">
        <f t="shared" si="15"/>
        <v>170.67999999999998</v>
      </c>
      <c r="R11" s="182">
        <f t="shared" si="16"/>
        <v>53.11</v>
      </c>
      <c r="S11" s="183" t="s">
        <v>87</v>
      </c>
      <c r="T11" s="182">
        <f t="shared" si="8"/>
        <v>13.39</v>
      </c>
      <c r="U11" s="184">
        <f t="shared" si="9"/>
        <v>73.389999999999972</v>
      </c>
      <c r="V11" s="201">
        <f>IF(H10="AFIII",VLOOKUP(D11,Sheet1!$A$4:$H$18,5,FALSE),IF(H10="UBIII",VLOOKUP(D11,Sheet1!$A$4:$H$18,8,FALSE),IF(H10="",VLOOKUP(D11,Sheet1!$A$4:$H$18,2,FALSE),"0")))</f>
        <v>1768</v>
      </c>
      <c r="W11" s="201">
        <f t="shared" si="2"/>
        <v>0</v>
      </c>
      <c r="X11" s="208">
        <f t="shared" si="3"/>
        <v>1725</v>
      </c>
      <c r="Y11" s="171" t="str">
        <f t="shared" si="4"/>
        <v>SUCCESS</v>
      </c>
      <c r="Z11" s="171" t="str">
        <f t="shared" si="5"/>
        <v>SUCCESS</v>
      </c>
      <c r="AA11" s="185">
        <f t="shared" si="6"/>
        <v>187.35701384708008</v>
      </c>
    </row>
    <row r="12" spans="1:27">
      <c r="A12" s="112">
        <f>ROUNDDOWN(IF(N11-G12&gt;0,(IF(H11="AFIII",VLOOKUP(D12,Sheet1!$K$4:$S$19,5,FALSE),IF(H11="UBIII",VLOOKUP(D12,Sheet1!$K$4:$S$19,8,FALSE),VLOOKUP(D12,Sheet1!$K$4:$S$19,2,FALSE)))*1.2),IF(H11="AFIII",VLOOKUP(D12,Sheet1!$K$4:$S$19,5,FALSE),IF(H11="UBIII",VLOOKUP(D12,Sheet1!$K$4:$S$19,8,FALSE),VLOOKUP(D12,Sheet1!$K$4:$S$19,2,FALSE)))),0)</f>
        <v>518</v>
      </c>
      <c r="B12" s="113">
        <f t="shared" si="0"/>
        <v>3630</v>
      </c>
      <c r="C12" s="118">
        <f>C11+G12</f>
        <v>18.64</v>
      </c>
      <c r="D12" s="181" t="s">
        <v>129</v>
      </c>
      <c r="E12" s="182">
        <f>IF(H11="AFIII",VLOOKUP($D12,Sheet1!$A$34:$K$48,5,FALSE),IF(H11="UBIII",VLOOKUP($D12,Sheet1!$A$34:$K$48,8,FALSE),VLOOKUP($D12,Sheet1!$A$34:$K$48,2,FALSE)))</f>
        <v>2.39</v>
      </c>
      <c r="F12" s="182">
        <f>ROUNDDOWN((IF(H11="AFIII",VLOOKUP($D12,Sheet1!$A$34:$K$48,5,FALSE),IF(H11="UBIII",VLOOKUP($D12,Sheet1!$A$34:$K$48,8,FALSE),VLOOKUP($D12,Sheet1!$A$34:$K$48,2,FALSE))))*0.85,2)</f>
        <v>2.0299999999999998</v>
      </c>
      <c r="G12" s="182">
        <f t="shared" si="10"/>
        <v>2.0299999999999998</v>
      </c>
      <c r="H12" s="183" t="s">
        <v>84</v>
      </c>
      <c r="I12" s="182">
        <v>10</v>
      </c>
      <c r="K12" s="182">
        <f t="shared" si="17"/>
        <v>16.22</v>
      </c>
      <c r="L12" s="182">
        <f t="shared" si="18"/>
        <v>46.22</v>
      </c>
      <c r="M12" s="183" t="s">
        <v>100</v>
      </c>
      <c r="N12" s="182">
        <f t="shared" si="19"/>
        <v>8.6500000000000021</v>
      </c>
      <c r="O12" s="182">
        <f t="shared" si="15"/>
        <v>168.64999999999998</v>
      </c>
      <c r="R12" s="182">
        <f>R11-G12</f>
        <v>51.08</v>
      </c>
      <c r="S12" s="183" t="s">
        <v>87</v>
      </c>
      <c r="T12" s="182">
        <f t="shared" si="8"/>
        <v>11.360000000000001</v>
      </c>
      <c r="U12" s="184">
        <f t="shared" si="9"/>
        <v>71.359999999999971</v>
      </c>
      <c r="V12" s="201">
        <f>IF(H11="AFIII",VLOOKUP(D12,Sheet1!$A$4:$H$18,5,FALSE),IF(H11="UBIII",VLOOKUP(D12,Sheet1!$A$4:$H$18,8,FALSE),IF(H11="",VLOOKUP(D12,Sheet1!$A$4:$H$18,2,FALSE),"0")))</f>
        <v>0</v>
      </c>
      <c r="W12" s="201">
        <f t="shared" si="2"/>
        <v>0</v>
      </c>
      <c r="X12" s="208">
        <f>IF(M12="コンバート",(IF(D12="フレア",0,IF(X11-V12+W12&gt;$X$3,$X$3-V12,X11-V12+W12)))+$X$1,IF(D12="フレア",0,IF(X11-V12+W12&gt;$X$3,$X$3-V12,X11-V12+W12)))</f>
        <v>5132</v>
      </c>
      <c r="Y12" s="171" t="str">
        <f t="shared" si="4"/>
        <v>SUCCESS</v>
      </c>
      <c r="Z12" s="171" t="str">
        <f t="shared" si="5"/>
        <v>SUCCESS</v>
      </c>
      <c r="AA12" s="185">
        <f t="shared" si="6"/>
        <v>194.74248927038627</v>
      </c>
    </row>
    <row r="13" spans="1:27">
      <c r="A13" s="112">
        <f>ROUNDDOWN(IF(N12-G13&gt;0,(IF(H12="AFIII",VLOOKUP(D13,Sheet1!$K$4:$S$19,5,FALSE),IF(H12="UBIII",VLOOKUP(D13,Sheet1!$K$4:$S$19,8,FALSE),VLOOKUP(D13,Sheet1!$K$4:$S$19,2,FALSE)))*1.2),IF(H12="AFIII",VLOOKUP(D13,Sheet1!$K$4:$S$19,5,FALSE),IF(H12="UBIII",VLOOKUP(D13,Sheet1!$K$4:$S$19,8,FALSE),VLOOKUP(D13,Sheet1!$K$4:$S$19,2,FALSE)))),0)</f>
        <v>604</v>
      </c>
      <c r="B13" s="113">
        <f t="shared" si="0"/>
        <v>4234</v>
      </c>
      <c r="C13" s="118">
        <f>C12+G13</f>
        <v>21.07</v>
      </c>
      <c r="D13" s="181" t="s">
        <v>6</v>
      </c>
      <c r="E13" s="182">
        <f>IF(H12="AFIII",VLOOKUP($D13,Sheet1!$A$34:$K$48,5,FALSE),IF(H12="UBIII",VLOOKUP($D13,Sheet1!$A$34:$K$48,8,FALSE),VLOOKUP($D13,Sheet1!$A$34:$K$48,2,FALSE)))</f>
        <v>2.86</v>
      </c>
      <c r="F13" s="182">
        <f>ROUNDDOWN((IF(H12="AFIII",VLOOKUP($D13,Sheet1!$A$34:$K$48,5,FALSE),IF(H12="UBIII",VLOOKUP($D13,Sheet1!$A$34:$K$48,8,FALSE),VLOOKUP($D13,Sheet1!$A$34:$K$48,2,FALSE))))*0.85,2)</f>
        <v>2.4300000000000002</v>
      </c>
      <c r="G13" s="182">
        <f t="shared" si="10"/>
        <v>2.4300000000000002</v>
      </c>
      <c r="H13" s="183" t="s">
        <v>84</v>
      </c>
      <c r="I13" s="182">
        <f>I12-G13</f>
        <v>7.57</v>
      </c>
      <c r="K13" s="182">
        <f t="shared" si="17"/>
        <v>13.79</v>
      </c>
      <c r="L13" s="182">
        <f t="shared" si="18"/>
        <v>43.79</v>
      </c>
      <c r="N13" s="182">
        <f t="shared" si="19"/>
        <v>6.2200000000000024</v>
      </c>
      <c r="O13" s="182">
        <f t="shared" si="15"/>
        <v>166.21999999999997</v>
      </c>
      <c r="R13" s="182">
        <f>R12-G13</f>
        <v>48.65</v>
      </c>
      <c r="S13" s="183" t="s">
        <v>87</v>
      </c>
      <c r="T13" s="182">
        <f t="shared" si="8"/>
        <v>8.9300000000000015</v>
      </c>
      <c r="U13" s="184">
        <f t="shared" si="9"/>
        <v>68.929999999999964</v>
      </c>
      <c r="V13" s="201">
        <f>IF(H12="AFIII",VLOOKUP(D13,Sheet1!$A$4:$H$18,5,FALSE),IF(H12="UBIII",VLOOKUP(D13,Sheet1!$A$4:$H$18,8,FALSE),IF(H12="",VLOOKUP(D13,Sheet1!$A$4:$H$18,2,FALSE),"0")))</f>
        <v>1768</v>
      </c>
      <c r="W13" s="201">
        <f t="shared" si="2"/>
        <v>0</v>
      </c>
      <c r="X13" s="208">
        <f t="shared" ref="X13:X76" si="20">IF(M13="コンバート",(IF(D13="フレア",0,IF(X12-V13+W13&gt;$X$3,$X$3-V13,X12-V13+W13)))+$X$1,IF(D13="フレア",0,IF(X12-V13+W13&gt;$X$3,$X$3-V13,X12-V13+W13)))</f>
        <v>3364</v>
      </c>
      <c r="Y13" s="171" t="str">
        <f t="shared" si="4"/>
        <v>SUCCESS</v>
      </c>
      <c r="Z13" s="171" t="str">
        <f t="shared" si="5"/>
        <v>SUCCESS</v>
      </c>
      <c r="AA13" s="185">
        <f t="shared" si="6"/>
        <v>200.94921689606073</v>
      </c>
    </row>
    <row r="14" spans="1:27">
      <c r="A14" s="112">
        <f>ROUNDDOWN(IF(N13-G14&gt;0,(IF(H13="AFIII",VLOOKUP(D14,Sheet1!$K$4:$S$19,5,FALSE),IF(H13="UBIII",VLOOKUP(D14,Sheet1!$K$4:$S$19,8,FALSE),VLOOKUP(D14,Sheet1!$K$4:$S$19,2,FALSE)))*1.2),IF(H13="AFIII",VLOOKUP(D14,Sheet1!$K$4:$S$19,5,FALSE),IF(H13="UBIII",VLOOKUP(D14,Sheet1!$K$4:$S$19,8,FALSE),VLOOKUP(D14,Sheet1!$K$4:$S$19,2,FALSE)))),0)</f>
        <v>604</v>
      </c>
      <c r="B14" s="113">
        <f t="shared" si="0"/>
        <v>4838</v>
      </c>
      <c r="C14" s="118">
        <f t="shared" ref="C14:C41" si="21">C13+G14</f>
        <v>23.5</v>
      </c>
      <c r="D14" s="181" t="s">
        <v>6</v>
      </c>
      <c r="E14" s="182">
        <f>IF(H13="AFIII",VLOOKUP($D14,Sheet1!$A$34:$K$48,5,FALSE),IF(H13="UBIII",VLOOKUP($D14,Sheet1!$A$34:$K$48,8,FALSE),VLOOKUP($D14,Sheet1!$A$34:$K$48,2,FALSE)))</f>
        <v>2.86</v>
      </c>
      <c r="F14" s="182">
        <f>ROUNDDOWN((IF(H13="AFIII",VLOOKUP($D14,Sheet1!$A$34:$K$48,5,FALSE),IF(H13="UBIII",VLOOKUP($D14,Sheet1!$A$34:$K$48,8,FALSE),VLOOKUP($D14,Sheet1!$A$34:$K$48,2,FALSE))))*0.85,2)</f>
        <v>2.4300000000000002</v>
      </c>
      <c r="G14" s="182">
        <f>IF(M13="迅速",IF(S13="黒魔紋",$F$1,$E$1),IF(S13="黒魔紋",IF(F14&lt;$F$1,$F$1,F14),IF(E14&lt;$E$1,$E$1,E14)))</f>
        <v>2.4300000000000002</v>
      </c>
      <c r="H14" s="183" t="s">
        <v>84</v>
      </c>
      <c r="I14" s="182">
        <f>I13-G14</f>
        <v>5.1400000000000006</v>
      </c>
      <c r="K14" s="182">
        <f t="shared" si="17"/>
        <v>11.36</v>
      </c>
      <c r="L14" s="182">
        <f t="shared" si="18"/>
        <v>41.36</v>
      </c>
      <c r="N14" s="182">
        <f t="shared" si="19"/>
        <v>3.7900000000000023</v>
      </c>
      <c r="O14" s="182">
        <f t="shared" si="15"/>
        <v>163.78999999999996</v>
      </c>
      <c r="R14" s="182">
        <f t="shared" ref="R14:R29" si="22">R13-G14</f>
        <v>46.22</v>
      </c>
      <c r="S14" s="183" t="s">
        <v>87</v>
      </c>
      <c r="T14" s="182">
        <f t="shared" si="8"/>
        <v>6.5000000000000018</v>
      </c>
      <c r="U14" s="184">
        <f t="shared" si="9"/>
        <v>66.499999999999957</v>
      </c>
      <c r="V14" s="201">
        <f>IF(H13="AFIII",VLOOKUP(D14,Sheet1!$A$4:$H$18,5,FALSE),IF(H13="UBIII",VLOOKUP(D14,Sheet1!$A$4:$H$18,8,FALSE),IF(H13="",VLOOKUP(D14,Sheet1!$A$4:$H$18,2,FALSE),"0")))</f>
        <v>1768</v>
      </c>
      <c r="W14" s="201">
        <f t="shared" si="2"/>
        <v>0</v>
      </c>
      <c r="X14" s="208">
        <f t="shared" si="20"/>
        <v>1596</v>
      </c>
      <c r="Y14" s="171" t="str">
        <f t="shared" si="4"/>
        <v>SUCCESS</v>
      </c>
      <c r="Z14" s="171" t="str">
        <f t="shared" si="5"/>
        <v>SUCCESS</v>
      </c>
      <c r="AA14" s="185">
        <f t="shared" si="6"/>
        <v>205.87234042553192</v>
      </c>
    </row>
    <row r="15" spans="1:27">
      <c r="A15" s="112">
        <f>ROUNDDOWN(IF(N14-G15&gt;0,(IF(H14="AFIII",VLOOKUP(D15,Sheet1!$K$4:$S$19,5,FALSE),IF(H14="UBIII",VLOOKUP(D15,Sheet1!$K$4:$S$19,8,FALSE),VLOOKUP(D15,Sheet1!$K$4:$S$19,2,FALSE)))*1.2),IF(H14="AFIII",VLOOKUP(D15,Sheet1!$K$4:$S$19,5,FALSE),IF(H14="UBIII",VLOOKUP(D15,Sheet1!$K$4:$S$19,8,FALSE),VLOOKUP(D15,Sheet1!$K$4:$S$19,2,FALSE)))),0)</f>
        <v>201</v>
      </c>
      <c r="B15" s="113">
        <f t="shared" si="0"/>
        <v>5039</v>
      </c>
      <c r="C15" s="118">
        <f t="shared" si="21"/>
        <v>25.53</v>
      </c>
      <c r="D15" s="181" t="s">
        <v>12</v>
      </c>
      <c r="E15" s="182">
        <f>IF(H14="AFIII",VLOOKUP($D15,Sheet1!$A$34:$K$48,5,FALSE),IF(H14="UBIII",VLOOKUP($D15,Sheet1!$A$34:$K$48,8,FALSE),VLOOKUP($D15,Sheet1!$A$34:$K$48,2,FALSE)))</f>
        <v>1.67</v>
      </c>
      <c r="F15" s="182">
        <f>ROUNDDOWN((IF(H14="AFIII",VLOOKUP($D15,Sheet1!$A$34:$K$48,5,FALSE),IF(H14="UBIII",VLOOKUP($D15,Sheet1!$A$34:$K$48,8,FALSE),VLOOKUP($D15,Sheet1!$A$34:$K$48,2,FALSE))))*0.85,2)</f>
        <v>1.41</v>
      </c>
      <c r="G15" s="182">
        <f>IF(M14="迅速",IF(S14="黒魔紋",$F$1,$E$1),IF(S14="黒魔紋",IF(F15&lt;$F$1,$F$1,F15),IF(E15&lt;$E$1,$E$1,E15)))</f>
        <v>2.0299999999999998</v>
      </c>
      <c r="H15" s="183" t="s">
        <v>122</v>
      </c>
      <c r="I15" s="182">
        <v>10</v>
      </c>
      <c r="K15" s="182">
        <f t="shared" si="17"/>
        <v>9.33</v>
      </c>
      <c r="L15" s="182">
        <f t="shared" si="18"/>
        <v>39.33</v>
      </c>
      <c r="N15" s="182">
        <f t="shared" si="19"/>
        <v>1.7600000000000025</v>
      </c>
      <c r="O15" s="182">
        <f t="shared" si="15"/>
        <v>161.75999999999996</v>
      </c>
      <c r="R15" s="182">
        <f t="shared" si="22"/>
        <v>44.19</v>
      </c>
      <c r="S15" s="183" t="s">
        <v>87</v>
      </c>
      <c r="T15" s="182">
        <f t="shared" si="8"/>
        <v>4.4700000000000024</v>
      </c>
      <c r="U15" s="184">
        <f t="shared" si="9"/>
        <v>64.469999999999956</v>
      </c>
      <c r="V15" s="201">
        <f>IF(H14="AFIII",VLOOKUP(D15,Sheet1!$A$4:$H$18,5,FALSE),IF(H14="UBIII",VLOOKUP(D15,Sheet1!$A$4:$H$18,8,FALSE),IF(H14="",VLOOKUP(D15,Sheet1!$A$4:$H$18,2,FALSE),"0")))</f>
        <v>265</v>
      </c>
      <c r="W15" s="201">
        <f t="shared" si="2"/>
        <v>0</v>
      </c>
      <c r="X15" s="208">
        <f t="shared" si="20"/>
        <v>1331</v>
      </c>
      <c r="Y15" s="171" t="str">
        <f t="shared" si="4"/>
        <v>SUCCESS</v>
      </c>
      <c r="Z15" s="171" t="str">
        <f t="shared" si="5"/>
        <v>SUCCESS</v>
      </c>
      <c r="AA15" s="185">
        <f t="shared" si="6"/>
        <v>197.37563650607129</v>
      </c>
    </row>
    <row r="16" spans="1:27">
      <c r="A16" s="112">
        <f>ROUNDDOWN(IF(N15-G16&gt;0,(IF(H15="AFIII",VLOOKUP(D16,Sheet1!$K$4:$S$19,5,FALSE),IF(H15="UBIII",VLOOKUP(D16,Sheet1!$K$4:$S$19,8,FALSE),VLOOKUP(D16,Sheet1!$K$4:$S$19,2,FALSE)))*1.2),IF(H15="AFIII",VLOOKUP(D16,Sheet1!$K$4:$S$19,5,FALSE),IF(H15="UBIII",VLOOKUP(D16,Sheet1!$K$4:$S$19,8,FALSE),VLOOKUP(D16,Sheet1!$K$4:$S$19,2,FALSE)))),0)</f>
        <v>295</v>
      </c>
      <c r="B16" s="113">
        <f t="shared" si="0"/>
        <v>5334</v>
      </c>
      <c r="C16" s="118">
        <f t="shared" si="21"/>
        <v>27.96</v>
      </c>
      <c r="D16" s="181" t="s">
        <v>19</v>
      </c>
      <c r="E16" s="182">
        <f>IF(H15="AFIII",VLOOKUP($D16,Sheet1!$A$34:$K$48,5,FALSE),IF(H15="UBIII",VLOOKUP($D16,Sheet1!$A$34:$K$48,8,FALSE),VLOOKUP($D16,Sheet1!$A$34:$K$48,2,FALSE)))</f>
        <v>2.86</v>
      </c>
      <c r="F16" s="182">
        <f>ROUNDDOWN((IF(H15="AFIII",VLOOKUP($D16,Sheet1!$A$34:$K$48,5,FALSE),IF(H15="UBIII",VLOOKUP($D16,Sheet1!$A$34:$K$48,8,FALSE),VLOOKUP($D16,Sheet1!$A$34:$K$48,2,FALSE))))*0.85,2)</f>
        <v>2.4300000000000002</v>
      </c>
      <c r="G16" s="182">
        <f>IF(M15="迅速",IF(S15="黒魔紋",$F$1,$E$1),IF(S15="黒魔紋",IF(F16&lt;$F$1,$F$1,F16),IF(E16&lt;$E$1,$E$1,E16)))</f>
        <v>2.4300000000000002</v>
      </c>
      <c r="H16" s="183" t="s">
        <v>122</v>
      </c>
      <c r="I16" s="182">
        <f t="shared" ref="I16:I17" si="23">I15-G16</f>
        <v>7.57</v>
      </c>
      <c r="K16" s="182">
        <f t="shared" si="17"/>
        <v>6.9</v>
      </c>
      <c r="L16" s="182">
        <f t="shared" si="18"/>
        <v>36.9</v>
      </c>
      <c r="N16" s="182">
        <f t="shared" si="19"/>
        <v>-0.66999999999999771</v>
      </c>
      <c r="O16" s="182">
        <f t="shared" si="15"/>
        <v>159.32999999999996</v>
      </c>
      <c r="P16" s="183" t="s">
        <v>17</v>
      </c>
      <c r="Q16" s="182">
        <v>21</v>
      </c>
      <c r="R16" s="182">
        <f t="shared" si="22"/>
        <v>41.76</v>
      </c>
      <c r="S16" s="183" t="s">
        <v>87</v>
      </c>
      <c r="T16" s="182">
        <f t="shared" si="8"/>
        <v>2.0400000000000023</v>
      </c>
      <c r="U16" s="184">
        <f t="shared" si="9"/>
        <v>62.039999999999957</v>
      </c>
      <c r="V16" s="201">
        <f>IF(H15="AFIII",VLOOKUP(D16,Sheet1!$A$4:$H$18,5,FALSE),IF(H15="UBIII",VLOOKUP(D16,Sheet1!$A$4:$H$18,8,FALSE),IF(H15="",VLOOKUP(D16,Sheet1!$A$4:$H$18,2,FALSE),"0")))</f>
        <v>1060</v>
      </c>
      <c r="W16" s="201">
        <f t="shared" si="2"/>
        <v>7033</v>
      </c>
      <c r="X16" s="208">
        <f t="shared" si="20"/>
        <v>7304</v>
      </c>
      <c r="Y16" s="171" t="str">
        <f t="shared" si="4"/>
        <v>SUCCESS</v>
      </c>
      <c r="Z16" s="171" t="str">
        <f t="shared" si="5"/>
        <v>SUCCESS</v>
      </c>
      <c r="AA16" s="185">
        <f t="shared" si="6"/>
        <v>190.77253218884118</v>
      </c>
    </row>
    <row r="17" spans="1:27">
      <c r="A17" s="119">
        <f>ROUNDDOWN(IF(N16-G17&gt;0,(IF(H16="AFIII",VLOOKUP(D17,Sheet1!$K$4:$S$19,5,FALSE),IF(H16="UBIII",VLOOKUP(D17,Sheet1!$K$4:$S$19,8,FALSE),VLOOKUP(D17,Sheet1!$K$4:$S$19,2,FALSE)))*1.2),IF(H16="AFIII",VLOOKUP(D17,Sheet1!$K$4:$S$19,5,FALSE),IF(H16="UBIII",VLOOKUP(D17,Sheet1!$K$4:$S$19,8,FALSE),VLOOKUP(D17,Sheet1!$K$4:$S$19,2,FALSE)))),0)</f>
        <v>280</v>
      </c>
      <c r="B17" s="120">
        <f t="shared" si="0"/>
        <v>5614</v>
      </c>
      <c r="C17" s="121">
        <f t="shared" si="21"/>
        <v>30.39</v>
      </c>
      <c r="D17" s="191" t="s">
        <v>14</v>
      </c>
      <c r="E17" s="192">
        <f>IF(H16="AFIII",VLOOKUP($D17,Sheet1!$A$34:$K$48,5,FALSE),IF(H16="UBIII",VLOOKUP($D17,Sheet1!$A$34:$K$48,8,FALSE),VLOOKUP($D17,Sheet1!$A$34:$K$48,2,FALSE)))</f>
        <v>2.86</v>
      </c>
      <c r="F17" s="192">
        <f>ROUNDDOWN((IF(H16="AFIII",VLOOKUP($D17,Sheet1!$A$34:$K$48,5,FALSE),IF(H16="UBIII",VLOOKUP($D17,Sheet1!$A$34:$K$48,8,FALSE),VLOOKUP($D17,Sheet1!$A$34:$K$48,2,FALSE))))*0.85,2)</f>
        <v>2.4300000000000002</v>
      </c>
      <c r="G17" s="192">
        <f t="shared" ref="G17:G57" si="24">IF(M16="迅速",IF(S16="黒魔紋",$F$1,$E$1),IF(S16="黒魔紋",IF(F17&lt;$F$1,$F$1,F17),IF(E17&lt;$E$1,$E$1,E17)))</f>
        <v>2.4300000000000002</v>
      </c>
      <c r="H17" s="193" t="s">
        <v>122</v>
      </c>
      <c r="I17" s="192">
        <f t="shared" si="23"/>
        <v>5.1400000000000006</v>
      </c>
      <c r="J17" s="193"/>
      <c r="K17" s="192">
        <v>25</v>
      </c>
      <c r="L17" s="192">
        <f t="shared" si="18"/>
        <v>34.47</v>
      </c>
      <c r="M17" s="193"/>
      <c r="N17" s="192"/>
      <c r="O17" s="192">
        <f t="shared" si="15"/>
        <v>156.89999999999995</v>
      </c>
      <c r="P17" s="193"/>
      <c r="Q17" s="192">
        <f>Q16-G17</f>
        <v>18.57</v>
      </c>
      <c r="R17" s="192">
        <f t="shared" si="22"/>
        <v>39.33</v>
      </c>
      <c r="S17" s="193"/>
      <c r="T17" s="192">
        <f t="shared" si="8"/>
        <v>-0.3899999999999979</v>
      </c>
      <c r="U17" s="194">
        <f t="shared" si="9"/>
        <v>59.609999999999957</v>
      </c>
      <c r="V17" s="211">
        <f>IF(H16="AFIII",VLOOKUP(D17,Sheet1!$A$4:$H$18,5,FALSE),IF(H16="UBIII",VLOOKUP(D17,Sheet1!$A$4:$H$18,8,FALSE),IF(H16="",VLOOKUP(D17,Sheet1!$A$4:$H$18,2,FALSE),"0")))</f>
        <v>884</v>
      </c>
      <c r="W17" s="211">
        <f t="shared" si="2"/>
        <v>7033</v>
      </c>
      <c r="X17" s="212">
        <f t="shared" si="20"/>
        <v>10475</v>
      </c>
      <c r="Y17" s="195" t="str">
        <f t="shared" si="4"/>
        <v>SUCCESS</v>
      </c>
      <c r="Z17" s="195" t="str">
        <f t="shared" si="5"/>
        <v>SUCCESS</v>
      </c>
      <c r="AA17" s="185">
        <f t="shared" si="6"/>
        <v>184.73181967752549</v>
      </c>
    </row>
    <row r="18" spans="1:27">
      <c r="A18" s="112">
        <f>ROUNDDOWN(IF(N17-G18&gt;0,(IF(H17="AFIII",VLOOKUP(D18,Sheet1!$K$4:$S$19,5,FALSE),IF(H17="UBIII",VLOOKUP(D18,Sheet1!$K$4:$S$19,8,FALSE),VLOOKUP(D18,Sheet1!$K$4:$S$19,2,FALSE)))*1.2),IF(H17="AFIII",VLOOKUP(D18,Sheet1!$K$4:$S$19,5,FALSE),IF(H17="UBIII",VLOOKUP(D18,Sheet1!$K$4:$S$19,8,FALSE),VLOOKUP(D18,Sheet1!$K$4:$S$19,2,FALSE)))),0)</f>
        <v>168</v>
      </c>
      <c r="B18" s="113">
        <f t="shared" si="0"/>
        <v>5782</v>
      </c>
      <c r="C18" s="118">
        <f t="shared" si="21"/>
        <v>32.78</v>
      </c>
      <c r="D18" s="181" t="s">
        <v>4</v>
      </c>
      <c r="E18" s="182">
        <f>IF(H17="AFIII",VLOOKUP($D18,Sheet1!$A$34:$K$48,5,FALSE),IF(H17="UBIII",VLOOKUP($D18,Sheet1!$A$34:$K$48,8,FALSE),VLOOKUP($D18,Sheet1!$A$34:$K$48,2,FALSE)))</f>
        <v>1.67</v>
      </c>
      <c r="F18" s="182">
        <f>ROUNDDOWN((IF(H17="AFIII",VLOOKUP($D18,Sheet1!$A$34:$K$48,5,FALSE),IF(H17="UBIII",VLOOKUP($D18,Sheet1!$A$34:$K$48,8,FALSE),VLOOKUP($D18,Sheet1!$A$34:$K$48,2,FALSE))))*0.85,2)</f>
        <v>1.41</v>
      </c>
      <c r="G18" s="182">
        <f t="shared" si="24"/>
        <v>2.39</v>
      </c>
      <c r="H18" s="183" t="s">
        <v>84</v>
      </c>
      <c r="I18" s="182">
        <v>10</v>
      </c>
      <c r="K18" s="182">
        <f>K17-G18</f>
        <v>22.61</v>
      </c>
      <c r="L18" s="182">
        <f t="shared" si="18"/>
        <v>32.08</v>
      </c>
      <c r="O18" s="182">
        <f t="shared" si="15"/>
        <v>154.50999999999996</v>
      </c>
      <c r="Q18" s="182">
        <f t="shared" ref="Q18:Q33" si="25">Q17-G18</f>
        <v>16.18</v>
      </c>
      <c r="R18" s="182">
        <f t="shared" si="22"/>
        <v>36.94</v>
      </c>
      <c r="T18" s="182">
        <f t="shared" si="8"/>
        <v>-2.779999999999998</v>
      </c>
      <c r="U18" s="184">
        <f t="shared" si="9"/>
        <v>57.219999999999956</v>
      </c>
      <c r="V18" s="201">
        <f>IF(H17="AFIII",VLOOKUP(D18,Sheet1!$A$4:$H$18,5,FALSE),IF(H17="UBIII",VLOOKUP(D18,Sheet1!$A$4:$H$18,8,FALSE),IF(H17="",VLOOKUP(D18,Sheet1!$A$4:$H$18,2,FALSE),"0")))</f>
        <v>442</v>
      </c>
      <c r="W18" s="201">
        <f t="shared" si="2"/>
        <v>7033</v>
      </c>
      <c r="X18" s="208">
        <f t="shared" si="20"/>
        <v>10917</v>
      </c>
      <c r="Y18" s="171" t="str">
        <f t="shared" si="4"/>
        <v>SUCCESS</v>
      </c>
      <c r="Z18" s="171" t="str">
        <f t="shared" si="5"/>
        <v>SUCCESS</v>
      </c>
      <c r="AA18" s="185">
        <f t="shared" si="6"/>
        <v>176.38804148871262</v>
      </c>
    </row>
    <row r="19" spans="1:27">
      <c r="A19" s="112">
        <f>ROUNDDOWN(IF(N18-G19&gt;0,(IF(H18="AFIII",VLOOKUP(D19,Sheet1!$K$4:$S$19,5,FALSE),IF(H18="UBIII",VLOOKUP(D19,Sheet1!$K$4:$S$19,8,FALSE),VLOOKUP(D19,Sheet1!$K$4:$S$19,2,FALSE)))*1.2),IF(H18="AFIII",VLOOKUP(D19,Sheet1!$K$4:$S$19,5,FALSE),IF(H18="UBIII",VLOOKUP(D19,Sheet1!$K$4:$S$19,8,FALSE),VLOOKUP(D19,Sheet1!$K$4:$S$19,2,FALSE)))),0)</f>
        <v>504</v>
      </c>
      <c r="B19" s="113">
        <f t="shared" si="0"/>
        <v>6286</v>
      </c>
      <c r="C19" s="118">
        <f t="shared" si="21"/>
        <v>35.64</v>
      </c>
      <c r="D19" s="181" t="s">
        <v>6</v>
      </c>
      <c r="E19" s="182">
        <f>IF(H18="AFIII",VLOOKUP($D19,Sheet1!$A$34:$K$48,5,FALSE),IF(H18="UBIII",VLOOKUP($D19,Sheet1!$A$34:$K$48,8,FALSE),VLOOKUP($D19,Sheet1!$A$34:$K$48,2,FALSE)))</f>
        <v>2.86</v>
      </c>
      <c r="F19" s="182">
        <f>ROUNDDOWN((IF(H18="AFIII",VLOOKUP($D19,Sheet1!$A$34:$K$48,5,FALSE),IF(H18="UBIII",VLOOKUP($D19,Sheet1!$A$34:$K$48,8,FALSE),VLOOKUP($D19,Sheet1!$A$34:$K$48,2,FALSE))))*0.85,2)</f>
        <v>2.4300000000000002</v>
      </c>
      <c r="G19" s="182">
        <f t="shared" si="24"/>
        <v>2.86</v>
      </c>
      <c r="H19" s="183" t="s">
        <v>84</v>
      </c>
      <c r="I19" s="182">
        <f>I18-G19</f>
        <v>7.1400000000000006</v>
      </c>
      <c r="K19" s="182">
        <f t="shared" ref="K19:K25" si="26">K18-G19</f>
        <v>19.75</v>
      </c>
      <c r="L19" s="182">
        <f t="shared" si="18"/>
        <v>29.22</v>
      </c>
      <c r="O19" s="182">
        <f t="shared" si="15"/>
        <v>151.64999999999995</v>
      </c>
      <c r="Q19" s="182">
        <f t="shared" si="25"/>
        <v>13.32</v>
      </c>
      <c r="R19" s="182">
        <f t="shared" si="22"/>
        <v>34.08</v>
      </c>
      <c r="T19" s="182">
        <f t="shared" si="8"/>
        <v>-5.6399999999999979</v>
      </c>
      <c r="U19" s="184">
        <f t="shared" si="9"/>
        <v>54.359999999999957</v>
      </c>
      <c r="V19" s="201">
        <f>IF(H18="AFIII",VLOOKUP(D19,Sheet1!$A$4:$H$18,5,FALSE),IF(H18="UBIII",VLOOKUP(D19,Sheet1!$A$4:$H$18,8,FALSE),IF(H18="",VLOOKUP(D19,Sheet1!$A$4:$H$18,2,FALSE),"0")))</f>
        <v>1768</v>
      </c>
      <c r="W19" s="201">
        <f t="shared" si="2"/>
        <v>0</v>
      </c>
      <c r="X19" s="208">
        <f t="shared" si="20"/>
        <v>9149</v>
      </c>
      <c r="Y19" s="171" t="str">
        <f t="shared" si="4"/>
        <v>SUCCESS</v>
      </c>
      <c r="Z19" s="171" t="str">
        <f t="shared" si="5"/>
        <v>SUCCESS</v>
      </c>
      <c r="AA19" s="185">
        <f t="shared" si="6"/>
        <v>176.37485970819304</v>
      </c>
    </row>
    <row r="20" spans="1:27">
      <c r="A20" s="112">
        <f>ROUNDDOWN(IF(N19-G20&gt;0,(IF(H19="AFIII",VLOOKUP(D20,Sheet1!$K$4:$S$19,5,FALSE),IF(H19="UBIII",VLOOKUP(D20,Sheet1!$K$4:$S$19,8,FALSE),VLOOKUP(D20,Sheet1!$K$4:$S$19,2,FALSE)))*1.2),IF(H19="AFIII",VLOOKUP(D20,Sheet1!$K$4:$S$19,5,FALSE),IF(H19="UBIII",VLOOKUP(D20,Sheet1!$K$4:$S$19,8,FALSE),VLOOKUP(D20,Sheet1!$K$4:$S$19,2,FALSE)))),0)</f>
        <v>504</v>
      </c>
      <c r="B20" s="113">
        <f t="shared" si="0"/>
        <v>6790</v>
      </c>
      <c r="C20" s="118">
        <f t="shared" si="21"/>
        <v>38.5</v>
      </c>
      <c r="D20" s="181" t="s">
        <v>6</v>
      </c>
      <c r="E20" s="182">
        <f>IF(H19="AFIII",VLOOKUP($D20,Sheet1!$A$34:$K$48,5,FALSE),IF(H19="UBIII",VLOOKUP($D20,Sheet1!$A$34:$K$48,8,FALSE),VLOOKUP($D20,Sheet1!$A$34:$K$48,2,FALSE)))</f>
        <v>2.86</v>
      </c>
      <c r="F20" s="182">
        <f>ROUNDDOWN((IF(H19="AFIII",VLOOKUP($D20,Sheet1!$A$34:$K$48,5,FALSE),IF(H19="UBIII",VLOOKUP($D20,Sheet1!$A$34:$K$48,8,FALSE),VLOOKUP($D20,Sheet1!$A$34:$K$48,2,FALSE))))*0.85,2)</f>
        <v>2.4300000000000002</v>
      </c>
      <c r="G20" s="182">
        <f t="shared" si="24"/>
        <v>2.86</v>
      </c>
      <c r="H20" s="183" t="s">
        <v>84</v>
      </c>
      <c r="I20" s="182">
        <f>I19-G20</f>
        <v>4.2800000000000011</v>
      </c>
      <c r="K20" s="182">
        <f t="shared" si="26"/>
        <v>16.89</v>
      </c>
      <c r="L20" s="182">
        <f t="shared" si="18"/>
        <v>26.36</v>
      </c>
      <c r="O20" s="182">
        <f t="shared" si="15"/>
        <v>148.78999999999994</v>
      </c>
      <c r="Q20" s="182">
        <f t="shared" si="25"/>
        <v>10.46</v>
      </c>
      <c r="R20" s="182">
        <f t="shared" si="22"/>
        <v>31.22</v>
      </c>
      <c r="U20" s="184">
        <f t="shared" si="9"/>
        <v>51.499999999999957</v>
      </c>
      <c r="V20" s="201">
        <f>IF(H19="AFIII",VLOOKUP(D20,Sheet1!$A$4:$H$18,5,FALSE),IF(H19="UBIII",VLOOKUP(D20,Sheet1!$A$4:$H$18,8,FALSE),IF(H19="",VLOOKUP(D20,Sheet1!$A$4:$H$18,2,FALSE),"0")))</f>
        <v>1768</v>
      </c>
      <c r="W20" s="201">
        <f t="shared" si="2"/>
        <v>0</v>
      </c>
      <c r="X20" s="208">
        <f t="shared" si="20"/>
        <v>7381</v>
      </c>
      <c r="Y20" s="171" t="str">
        <f t="shared" si="4"/>
        <v>SUCCESS</v>
      </c>
      <c r="Z20" s="171" t="str">
        <f t="shared" si="5"/>
        <v>SUCCESS</v>
      </c>
      <c r="AA20" s="185">
        <f t="shared" si="6"/>
        <v>176.36363636363637</v>
      </c>
    </row>
    <row r="21" spans="1:27">
      <c r="A21" s="112">
        <f>ROUNDDOWN(IF(N20-G21&gt;0,(IF(H20="AFIII",VLOOKUP(D21,Sheet1!$K$4:$S$19,5,FALSE),IF(H20="UBIII",VLOOKUP(D21,Sheet1!$K$4:$S$19,8,FALSE),VLOOKUP(D21,Sheet1!$K$4:$S$19,2,FALSE)))*1.2),IF(H20="AFIII",VLOOKUP(D21,Sheet1!$K$4:$S$19,5,FALSE),IF(H20="UBIII",VLOOKUP(D21,Sheet1!$K$4:$S$19,8,FALSE),VLOOKUP(D21,Sheet1!$K$4:$S$19,2,FALSE)))),0)</f>
        <v>324</v>
      </c>
      <c r="B21" s="113">
        <f t="shared" si="0"/>
        <v>7114</v>
      </c>
      <c r="C21" s="118">
        <f t="shared" si="21"/>
        <v>40.89</v>
      </c>
      <c r="D21" s="181" t="s">
        <v>1</v>
      </c>
      <c r="E21" s="182">
        <f>IF(H20="AFIII",VLOOKUP($D21,Sheet1!$A$34:$K$48,5,FALSE),IF(H20="UBIII",VLOOKUP($D21,Sheet1!$A$34:$K$48,8,FALSE),VLOOKUP($D21,Sheet1!$A$34:$K$48,2,FALSE)))</f>
        <v>2.39</v>
      </c>
      <c r="F21" s="182">
        <f>ROUNDDOWN((IF(H20="AFIII",VLOOKUP($D21,Sheet1!$A$34:$K$48,5,FALSE),IF(H20="UBIII",VLOOKUP($D21,Sheet1!$A$34:$K$48,8,FALSE),VLOOKUP($D21,Sheet1!$A$34:$K$48,2,FALSE))))*0.85,2)</f>
        <v>2.0299999999999998</v>
      </c>
      <c r="G21" s="182">
        <f t="shared" si="24"/>
        <v>2.39</v>
      </c>
      <c r="H21" s="183" t="s">
        <v>84</v>
      </c>
      <c r="I21" s="182">
        <v>10</v>
      </c>
      <c r="K21" s="182">
        <f t="shared" si="26"/>
        <v>14.5</v>
      </c>
      <c r="L21" s="182">
        <f t="shared" si="18"/>
        <v>23.97</v>
      </c>
      <c r="O21" s="182">
        <f t="shared" si="15"/>
        <v>146.39999999999995</v>
      </c>
      <c r="Q21" s="182">
        <f t="shared" si="25"/>
        <v>8.07</v>
      </c>
      <c r="R21" s="182">
        <f t="shared" si="22"/>
        <v>28.83</v>
      </c>
      <c r="U21" s="184">
        <f t="shared" si="9"/>
        <v>49.109999999999957</v>
      </c>
      <c r="V21" s="201">
        <f>IF(H20="AFIII",VLOOKUP(D21,Sheet1!$A$4:$H$18,5,FALSE),IF(H20="UBIII",VLOOKUP(D21,Sheet1!$A$4:$H$18,8,FALSE),IF(H20="",VLOOKUP(D21,Sheet1!$A$4:$H$18,2,FALSE),"0")))</f>
        <v>2120</v>
      </c>
      <c r="W21" s="201">
        <f t="shared" si="2"/>
        <v>0</v>
      </c>
      <c r="X21" s="208">
        <f t="shared" si="20"/>
        <v>5261</v>
      </c>
      <c r="Y21" s="171" t="str">
        <f t="shared" si="4"/>
        <v>SUCCESS</v>
      </c>
      <c r="Z21" s="171" t="str">
        <f t="shared" si="5"/>
        <v>SUCCESS</v>
      </c>
      <c r="AA21" s="185">
        <f t="shared" si="6"/>
        <v>173.97896796282708</v>
      </c>
    </row>
    <row r="22" spans="1:27">
      <c r="A22" s="112">
        <f>ROUNDDOWN(IF(N21-G22&gt;0,(IF(H21="AFIII",VLOOKUP(D22,Sheet1!$K$4:$S$19,5,FALSE),IF(H21="UBIII",VLOOKUP(D22,Sheet1!$K$4:$S$19,8,FALSE),VLOOKUP(D22,Sheet1!$K$4:$S$19,2,FALSE)))*1.2),IF(H21="AFIII",VLOOKUP(D22,Sheet1!$K$4:$S$19,5,FALSE),IF(H21="UBIII",VLOOKUP(D22,Sheet1!$K$4:$S$19,8,FALSE),VLOOKUP(D22,Sheet1!$K$4:$S$19,2,FALSE)))),0)</f>
        <v>504</v>
      </c>
      <c r="B22" s="113">
        <f t="shared" si="0"/>
        <v>7618</v>
      </c>
      <c r="C22" s="118">
        <f t="shared" si="21"/>
        <v>43.75</v>
      </c>
      <c r="D22" s="181" t="s">
        <v>6</v>
      </c>
      <c r="E22" s="182">
        <f>IF(H21="AFIII",VLOOKUP($D22,Sheet1!$A$34:$K$48,5,FALSE),IF(H21="UBIII",VLOOKUP($D22,Sheet1!$A$34:$K$48,8,FALSE),VLOOKUP($D22,Sheet1!$A$34:$K$48,2,FALSE)))</f>
        <v>2.86</v>
      </c>
      <c r="F22" s="182">
        <f>ROUNDDOWN((IF(H21="AFIII",VLOOKUP($D22,Sheet1!$A$34:$K$48,5,FALSE),IF(H21="UBIII",VLOOKUP($D22,Sheet1!$A$34:$K$48,8,FALSE),VLOOKUP($D22,Sheet1!$A$34:$K$48,2,FALSE))))*0.85,2)</f>
        <v>2.4300000000000002</v>
      </c>
      <c r="G22" s="182">
        <f t="shared" si="24"/>
        <v>2.86</v>
      </c>
      <c r="H22" s="183" t="s">
        <v>84</v>
      </c>
      <c r="I22" s="182">
        <f>I21-G22</f>
        <v>7.1400000000000006</v>
      </c>
      <c r="K22" s="182">
        <f t="shared" si="26"/>
        <v>11.64</v>
      </c>
      <c r="L22" s="182">
        <f t="shared" si="18"/>
        <v>21.11</v>
      </c>
      <c r="O22" s="182">
        <f t="shared" si="15"/>
        <v>143.53999999999994</v>
      </c>
      <c r="Q22" s="182">
        <f t="shared" si="25"/>
        <v>5.2100000000000009</v>
      </c>
      <c r="R22" s="182">
        <f t="shared" si="22"/>
        <v>25.97</v>
      </c>
      <c r="U22" s="184">
        <f t="shared" si="9"/>
        <v>46.249999999999957</v>
      </c>
      <c r="V22" s="201">
        <f>IF(H21="AFIII",VLOOKUP(D22,Sheet1!$A$4:$H$18,5,FALSE),IF(H21="UBIII",VLOOKUP(D22,Sheet1!$A$4:$H$18,8,FALSE),IF(H21="",VLOOKUP(D22,Sheet1!$A$4:$H$18,2,FALSE),"0")))</f>
        <v>1768</v>
      </c>
      <c r="W22" s="201">
        <f t="shared" si="2"/>
        <v>0</v>
      </c>
      <c r="X22" s="208">
        <f t="shared" si="20"/>
        <v>3493</v>
      </c>
      <c r="Y22" s="171" t="str">
        <f t="shared" si="4"/>
        <v>SUCCESS</v>
      </c>
      <c r="Z22" s="171" t="str">
        <f t="shared" si="5"/>
        <v>SUCCESS</v>
      </c>
      <c r="AA22" s="185">
        <f t="shared" si="6"/>
        <v>174.12571428571428</v>
      </c>
    </row>
    <row r="23" spans="1:27">
      <c r="A23" s="112">
        <f>ROUNDDOWN(IF(N22-G23&gt;0,(IF(H22="AFIII",VLOOKUP(D23,Sheet1!$K$4:$S$19,5,FALSE),IF(H22="UBIII",VLOOKUP(D23,Sheet1!$K$4:$S$19,8,FALSE),VLOOKUP(D23,Sheet1!$K$4:$S$19,2,FALSE)))*1.2),IF(H22="AFIII",VLOOKUP(D23,Sheet1!$K$4:$S$19,5,FALSE),IF(H22="UBIII",VLOOKUP(D23,Sheet1!$K$4:$S$19,8,FALSE),VLOOKUP(D23,Sheet1!$K$4:$S$19,2,FALSE)))),0)</f>
        <v>504</v>
      </c>
      <c r="B23" s="113">
        <f t="shared" si="0"/>
        <v>8122</v>
      </c>
      <c r="C23" s="118">
        <f t="shared" si="21"/>
        <v>46.61</v>
      </c>
      <c r="D23" s="181" t="s">
        <v>6</v>
      </c>
      <c r="E23" s="182">
        <f>IF(H22="AFIII",VLOOKUP($D23,Sheet1!$A$34:$K$48,5,FALSE),IF(H22="UBIII",VLOOKUP($D23,Sheet1!$A$34:$K$48,8,FALSE),VLOOKUP($D23,Sheet1!$A$34:$K$48,2,FALSE)))</f>
        <v>2.86</v>
      </c>
      <c r="F23" s="182">
        <f>ROUNDDOWN((IF(H22="AFIII",VLOOKUP($D23,Sheet1!$A$34:$K$48,5,FALSE),IF(H22="UBIII",VLOOKUP($D23,Sheet1!$A$34:$K$48,8,FALSE),VLOOKUP($D23,Sheet1!$A$34:$K$48,2,FALSE))))*0.85,2)</f>
        <v>2.4300000000000002</v>
      </c>
      <c r="G23" s="182">
        <f t="shared" si="24"/>
        <v>2.86</v>
      </c>
      <c r="H23" s="183" t="s">
        <v>84</v>
      </c>
      <c r="I23" s="182">
        <f>I22-G23</f>
        <v>4.2800000000000011</v>
      </c>
      <c r="K23" s="182">
        <f t="shared" si="26"/>
        <v>8.7800000000000011</v>
      </c>
      <c r="L23" s="182">
        <f t="shared" si="18"/>
        <v>18.25</v>
      </c>
      <c r="O23" s="182">
        <f t="shared" si="15"/>
        <v>140.67999999999992</v>
      </c>
      <c r="Q23" s="182">
        <f t="shared" si="25"/>
        <v>2.350000000000001</v>
      </c>
      <c r="R23" s="182">
        <f t="shared" si="22"/>
        <v>23.11</v>
      </c>
      <c r="U23" s="184">
        <f t="shared" si="9"/>
        <v>43.389999999999958</v>
      </c>
      <c r="V23" s="201">
        <f>IF(H22="AFIII",VLOOKUP(D23,Sheet1!$A$4:$H$18,5,FALSE),IF(H22="UBIII",VLOOKUP(D23,Sheet1!$A$4:$H$18,8,FALSE),IF(H22="",VLOOKUP(D23,Sheet1!$A$4:$H$18,2,FALSE),"0")))</f>
        <v>1768</v>
      </c>
      <c r="W23" s="201">
        <f t="shared" si="2"/>
        <v>0</v>
      </c>
      <c r="X23" s="208">
        <f t="shared" si="20"/>
        <v>1725</v>
      </c>
      <c r="Y23" s="171" t="str">
        <f t="shared" si="4"/>
        <v>SUCCESS</v>
      </c>
      <c r="Z23" s="171" t="str">
        <f t="shared" si="5"/>
        <v>SUCCESS</v>
      </c>
      <c r="AA23" s="185">
        <f t="shared" si="6"/>
        <v>174.25445183437031</v>
      </c>
    </row>
    <row r="24" spans="1:27">
      <c r="A24" s="112">
        <f>ROUNDDOWN(IF(N23-G24&gt;0,(IF(H23="AFIII",VLOOKUP(D24,Sheet1!$K$4:$S$19,5,FALSE),IF(H23="UBIII",VLOOKUP(D24,Sheet1!$K$4:$S$19,8,FALSE),VLOOKUP(D24,Sheet1!$K$4:$S$19,2,FALSE)))*1.2),IF(H23="AFIII",VLOOKUP(D24,Sheet1!$K$4:$S$19,5,FALSE),IF(H23="UBIII",VLOOKUP(D24,Sheet1!$K$4:$S$19,8,FALSE),VLOOKUP(D24,Sheet1!$K$4:$S$19,2,FALSE)))),0)</f>
        <v>168</v>
      </c>
      <c r="B24" s="113">
        <f t="shared" si="0"/>
        <v>8290</v>
      </c>
      <c r="C24" s="118">
        <f t="shared" si="21"/>
        <v>49</v>
      </c>
      <c r="D24" s="181" t="s">
        <v>12</v>
      </c>
      <c r="E24" s="182">
        <f>IF(H23="AFIII",VLOOKUP($D24,Sheet1!$A$34:$K$48,5,FALSE),IF(H23="UBIII",VLOOKUP($D24,Sheet1!$A$34:$K$48,8,FALSE),VLOOKUP($D24,Sheet1!$A$34:$K$48,2,FALSE)))</f>
        <v>1.67</v>
      </c>
      <c r="F24" s="182">
        <f>ROUNDDOWN((IF(H23="AFIII",VLOOKUP($D24,Sheet1!$A$34:$K$48,5,FALSE),IF(H23="UBIII",VLOOKUP($D24,Sheet1!$A$34:$K$48,8,FALSE),VLOOKUP($D24,Sheet1!$A$34:$K$48,2,FALSE))))*0.85,2)</f>
        <v>1.41</v>
      </c>
      <c r="G24" s="182">
        <f t="shared" si="24"/>
        <v>2.39</v>
      </c>
      <c r="H24" s="183" t="s">
        <v>122</v>
      </c>
      <c r="I24" s="182">
        <v>10</v>
      </c>
      <c r="K24" s="182">
        <f t="shared" si="26"/>
        <v>6.3900000000000006</v>
      </c>
      <c r="L24" s="182">
        <f t="shared" si="18"/>
        <v>15.86</v>
      </c>
      <c r="O24" s="182">
        <f t="shared" si="15"/>
        <v>138.28999999999994</v>
      </c>
      <c r="Q24" s="182">
        <f t="shared" si="25"/>
        <v>-3.9999999999999147E-2</v>
      </c>
      <c r="R24" s="182">
        <f t="shared" si="22"/>
        <v>20.72</v>
      </c>
      <c r="U24" s="184">
        <f t="shared" si="9"/>
        <v>40.999999999999957</v>
      </c>
      <c r="V24" s="201">
        <f>IF(H23="AFIII",VLOOKUP(D24,Sheet1!$A$4:$H$18,5,FALSE),IF(H23="UBIII",VLOOKUP(D24,Sheet1!$A$4:$H$18,8,FALSE),IF(H23="",VLOOKUP(D24,Sheet1!$A$4:$H$18,2,FALSE),"0")))</f>
        <v>265</v>
      </c>
      <c r="W24" s="201">
        <f t="shared" si="2"/>
        <v>0</v>
      </c>
      <c r="X24" s="208">
        <f t="shared" si="20"/>
        <v>1460</v>
      </c>
      <c r="Y24" s="171" t="str">
        <f t="shared" si="4"/>
        <v>SUCCESS</v>
      </c>
      <c r="Z24" s="171" t="str">
        <f t="shared" si="5"/>
        <v>SUCCESS</v>
      </c>
      <c r="AA24" s="185">
        <f t="shared" si="6"/>
        <v>169.18367346938774</v>
      </c>
    </row>
    <row r="25" spans="1:27">
      <c r="A25" s="112">
        <f>ROUNDDOWN(IF(N24-G25&gt;0,(IF(H24="AFIII",VLOOKUP(D25,Sheet1!$K$4:$S$19,5,FALSE),IF(H24="UBIII",VLOOKUP(D25,Sheet1!$K$4:$S$19,8,FALSE),VLOOKUP(D25,Sheet1!$K$4:$S$19,2,FALSE)))*1.2),IF(H24="AFIII",VLOOKUP(D25,Sheet1!$K$4:$S$19,5,FALSE),IF(H24="UBIII",VLOOKUP(D25,Sheet1!$K$4:$S$19,8,FALSE),VLOOKUP(D25,Sheet1!$K$4:$S$19,2,FALSE)))),0)</f>
        <v>295</v>
      </c>
      <c r="B25" s="113">
        <f t="shared" si="0"/>
        <v>8585</v>
      </c>
      <c r="C25" s="118">
        <f t="shared" si="21"/>
        <v>51.86</v>
      </c>
      <c r="D25" s="181" t="s">
        <v>19</v>
      </c>
      <c r="E25" s="182">
        <f>IF(H24="AFIII",VLOOKUP($D25,Sheet1!$A$34:$K$48,5,FALSE),IF(H24="UBIII",VLOOKUP($D25,Sheet1!$A$34:$K$48,8,FALSE),VLOOKUP($D25,Sheet1!$A$34:$K$48,2,FALSE)))</f>
        <v>2.86</v>
      </c>
      <c r="F25" s="182">
        <f>ROUNDDOWN((IF(H24="AFIII",VLOOKUP($D25,Sheet1!$A$34:$K$48,5,FALSE),IF(H24="UBIII",VLOOKUP($D25,Sheet1!$A$34:$K$48,8,FALSE),VLOOKUP($D25,Sheet1!$A$34:$K$48,2,FALSE))))*0.85,2)</f>
        <v>2.4300000000000002</v>
      </c>
      <c r="G25" s="182">
        <f t="shared" si="24"/>
        <v>2.86</v>
      </c>
      <c r="H25" s="183" t="s">
        <v>122</v>
      </c>
      <c r="I25" s="182">
        <f>I24-G25</f>
        <v>7.1400000000000006</v>
      </c>
      <c r="K25" s="182">
        <f t="shared" si="26"/>
        <v>3.5300000000000007</v>
      </c>
      <c r="L25" s="182">
        <f t="shared" si="18"/>
        <v>13</v>
      </c>
      <c r="O25" s="182">
        <f t="shared" si="15"/>
        <v>135.42999999999992</v>
      </c>
      <c r="P25" s="183" t="s">
        <v>251</v>
      </c>
      <c r="Q25" s="182">
        <v>21</v>
      </c>
      <c r="R25" s="182">
        <f t="shared" si="22"/>
        <v>17.86</v>
      </c>
      <c r="U25" s="184">
        <f t="shared" si="9"/>
        <v>38.139999999999958</v>
      </c>
      <c r="V25" s="201">
        <f>IF(H24="AFIII",VLOOKUP(D25,Sheet1!$A$4:$H$18,5,FALSE),IF(H24="UBIII",VLOOKUP(D25,Sheet1!$A$4:$H$18,8,FALSE),IF(H24="",VLOOKUP(D25,Sheet1!$A$4:$H$18,2,FALSE),"0")))</f>
        <v>1060</v>
      </c>
      <c r="W25" s="201">
        <f t="shared" si="2"/>
        <v>7033</v>
      </c>
      <c r="X25" s="208">
        <f t="shared" si="20"/>
        <v>7433</v>
      </c>
      <c r="Y25" s="171" t="str">
        <f t="shared" si="4"/>
        <v>SUCCESS</v>
      </c>
      <c r="Z25" s="171" t="str">
        <f t="shared" si="5"/>
        <v>SUCCESS</v>
      </c>
      <c r="AA25" s="185">
        <f t="shared" si="6"/>
        <v>165.54184342460471</v>
      </c>
    </row>
    <row r="26" spans="1:27">
      <c r="A26" s="119">
        <f>ROUNDDOWN(IF(N25-G26&gt;0,(IF(H25="AFIII",VLOOKUP(D26,Sheet1!$K$4:$S$19,5,FALSE),IF(H25="UBIII",VLOOKUP(D26,Sheet1!$K$4:$S$19,8,FALSE),VLOOKUP(D26,Sheet1!$K$4:$S$19,2,FALSE)))*1.2),IF(H25="AFIII",VLOOKUP(D26,Sheet1!$K$4:$S$19,5,FALSE),IF(H25="UBIII",VLOOKUP(D26,Sheet1!$K$4:$S$19,8,FALSE),VLOOKUP(D26,Sheet1!$K$4:$S$19,2,FALSE)))),0)</f>
        <v>280</v>
      </c>
      <c r="B26" s="120">
        <f t="shared" si="0"/>
        <v>8865</v>
      </c>
      <c r="C26" s="121">
        <f t="shared" si="21"/>
        <v>54.72</v>
      </c>
      <c r="D26" s="191" t="s">
        <v>14</v>
      </c>
      <c r="E26" s="192">
        <f>IF(H25="AFIII",VLOOKUP($D26,Sheet1!$A$34:$K$48,5,FALSE),IF(H25="UBIII",VLOOKUP($D26,Sheet1!$A$34:$K$48,8,FALSE),VLOOKUP($D26,Sheet1!$A$34:$K$48,2,FALSE)))</f>
        <v>2.86</v>
      </c>
      <c r="F26" s="192">
        <f>ROUNDDOWN((IF(H25="AFIII",VLOOKUP($D26,Sheet1!$A$34:$K$48,5,FALSE),IF(H25="UBIII",VLOOKUP($D26,Sheet1!$A$34:$K$48,8,FALSE),VLOOKUP($D26,Sheet1!$A$34:$K$48,2,FALSE))))*0.85,2)</f>
        <v>2.4300000000000002</v>
      </c>
      <c r="G26" s="192">
        <f t="shared" si="24"/>
        <v>2.86</v>
      </c>
      <c r="H26" s="193" t="s">
        <v>122</v>
      </c>
      <c r="I26" s="192">
        <f>I25-G26</f>
        <v>4.2800000000000011</v>
      </c>
      <c r="J26" s="193"/>
      <c r="K26" s="192">
        <v>20</v>
      </c>
      <c r="L26" s="192">
        <f t="shared" si="18"/>
        <v>10.14</v>
      </c>
      <c r="M26" s="193"/>
      <c r="N26" s="192"/>
      <c r="O26" s="192">
        <f t="shared" si="15"/>
        <v>132.56999999999991</v>
      </c>
      <c r="P26" s="193"/>
      <c r="Q26" s="192">
        <f t="shared" si="25"/>
        <v>18.14</v>
      </c>
      <c r="R26" s="192">
        <f t="shared" si="22"/>
        <v>15</v>
      </c>
      <c r="S26" s="193"/>
      <c r="T26" s="192"/>
      <c r="U26" s="194">
        <f t="shared" si="9"/>
        <v>35.279999999999959</v>
      </c>
      <c r="V26" s="211">
        <f>IF(H25="AFIII",VLOOKUP(D26,Sheet1!$A$4:$H$18,5,FALSE),IF(H25="UBIII",VLOOKUP(D26,Sheet1!$A$4:$H$18,8,FALSE),IF(H25="",VLOOKUP(D26,Sheet1!$A$4:$H$18,2,FALSE),"0")))</f>
        <v>884</v>
      </c>
      <c r="W26" s="211">
        <f t="shared" si="2"/>
        <v>7033</v>
      </c>
      <c r="X26" s="212">
        <f t="shared" si="20"/>
        <v>10475</v>
      </c>
      <c r="Y26" s="195" t="str">
        <f t="shared" si="4"/>
        <v>SUCCESS</v>
      </c>
      <c r="Z26" s="195" t="str">
        <f t="shared" si="5"/>
        <v>SUCCESS</v>
      </c>
      <c r="AA26" s="185">
        <f t="shared" si="6"/>
        <v>162.00657894736841</v>
      </c>
    </row>
    <row r="27" spans="1:27">
      <c r="A27" s="112">
        <f>ROUNDDOWN(IF(N26-G27&gt;0,(IF(H26="AFIII",VLOOKUP(D27,Sheet1!$K$4:$S$19,5,FALSE),IF(H26="UBIII",VLOOKUP(D27,Sheet1!$K$4:$S$19,8,FALSE),VLOOKUP(D27,Sheet1!$K$4:$S$19,2,FALSE)))*1.2),IF(H26="AFIII",VLOOKUP(D27,Sheet1!$K$4:$S$19,5,FALSE),IF(H26="UBIII",VLOOKUP(D27,Sheet1!$K$4:$S$19,8,FALSE),VLOOKUP(D27,Sheet1!$K$4:$S$19,2,FALSE)))),0)</f>
        <v>168</v>
      </c>
      <c r="B27" s="113">
        <f t="shared" si="0"/>
        <v>9033</v>
      </c>
      <c r="C27" s="118">
        <f t="shared" si="21"/>
        <v>57.11</v>
      </c>
      <c r="D27" s="181" t="s">
        <v>3</v>
      </c>
      <c r="E27" s="182">
        <f>IF(H26="AFIII",VLOOKUP($D27,Sheet1!$A$34:$K$48,5,FALSE),IF(H26="UBIII",VLOOKUP($D27,Sheet1!$A$34:$K$48,8,FALSE),VLOOKUP($D27,Sheet1!$A$34:$K$48,2,FALSE)))</f>
        <v>1.67</v>
      </c>
      <c r="F27" s="182">
        <f>ROUNDDOWN((IF(H26="AFIII",VLOOKUP($D27,Sheet1!$A$34:$K$48,5,FALSE),IF(H26="UBIII",VLOOKUP($D27,Sheet1!$A$34:$K$48,8,FALSE),VLOOKUP($D27,Sheet1!$A$34:$K$48,2,FALSE))))*0.85,2)</f>
        <v>1.41</v>
      </c>
      <c r="G27" s="182">
        <f t="shared" si="24"/>
        <v>2.39</v>
      </c>
      <c r="H27" s="183" t="s">
        <v>84</v>
      </c>
      <c r="I27" s="182">
        <v>10</v>
      </c>
      <c r="K27" s="182">
        <f>K26-G27</f>
        <v>17.61</v>
      </c>
      <c r="L27" s="182">
        <f t="shared" si="18"/>
        <v>7.75</v>
      </c>
      <c r="O27" s="182">
        <f t="shared" si="15"/>
        <v>130.17999999999992</v>
      </c>
      <c r="Q27" s="182">
        <f t="shared" si="25"/>
        <v>15.75</v>
      </c>
      <c r="R27" s="182">
        <f t="shared" si="22"/>
        <v>12.61</v>
      </c>
      <c r="U27" s="184">
        <f t="shared" si="9"/>
        <v>32.889999999999958</v>
      </c>
      <c r="V27" s="201">
        <f>IF(H26="AFIII",VLOOKUP(D27,Sheet1!$A$4:$H$18,5,FALSE),IF(H26="UBIII",VLOOKUP(D27,Sheet1!$A$4:$H$18,8,FALSE),IF(H26="",VLOOKUP(D27,Sheet1!$A$4:$H$18,2,FALSE),"0")))</f>
        <v>442</v>
      </c>
      <c r="W27" s="201">
        <f t="shared" si="2"/>
        <v>7033</v>
      </c>
      <c r="X27" s="208">
        <f t="shared" si="20"/>
        <v>10917</v>
      </c>
      <c r="Y27" s="171" t="str">
        <f t="shared" si="4"/>
        <v>SUCCESS</v>
      </c>
      <c r="Z27" s="171" t="str">
        <f t="shared" si="5"/>
        <v>SUCCESS</v>
      </c>
      <c r="AA27" s="185">
        <f t="shared" si="6"/>
        <v>158.16844685694275</v>
      </c>
    </row>
    <row r="28" spans="1:27">
      <c r="A28" s="112">
        <f>ROUNDDOWN(IF(N27-G28&gt;0,(IF(H27="AFIII",VLOOKUP(D28,Sheet1!$K$4:$S$19,5,FALSE),IF(H27="UBIII",VLOOKUP(D28,Sheet1!$K$4:$S$19,8,FALSE),VLOOKUP(D28,Sheet1!$K$4:$S$19,2,FALSE)))*1.2),IF(H27="AFIII",VLOOKUP(D28,Sheet1!$K$4:$S$19,5,FALSE),IF(H27="UBIII",VLOOKUP(D28,Sheet1!$K$4:$S$19,8,FALSE),VLOOKUP(D28,Sheet1!$K$4:$S$19,2,FALSE)))),0)</f>
        <v>504</v>
      </c>
      <c r="B28" s="113">
        <f t="shared" si="0"/>
        <v>9537</v>
      </c>
      <c r="C28" s="118">
        <f t="shared" si="21"/>
        <v>59.97</v>
      </c>
      <c r="D28" s="181" t="s">
        <v>5</v>
      </c>
      <c r="E28" s="182">
        <f>IF(H27="AFIII",VLOOKUP($D28,Sheet1!$A$34:$K$48,5,FALSE),IF(H27="UBIII",VLOOKUP($D28,Sheet1!$A$34:$K$48,8,FALSE),VLOOKUP($D28,Sheet1!$A$34:$K$48,2,FALSE)))</f>
        <v>2.86</v>
      </c>
      <c r="F28" s="182">
        <f>ROUNDDOWN((IF(H27="AFIII",VLOOKUP($D28,Sheet1!$A$34:$K$48,5,FALSE),IF(H27="UBIII",VLOOKUP($D28,Sheet1!$A$34:$K$48,8,FALSE),VLOOKUP($D28,Sheet1!$A$34:$K$48,2,FALSE))))*0.85,2)</f>
        <v>2.4300000000000002</v>
      </c>
      <c r="G28" s="182">
        <f t="shared" si="24"/>
        <v>2.86</v>
      </c>
      <c r="H28" s="183" t="s">
        <v>84</v>
      </c>
      <c r="I28" s="182">
        <f>I27-G28</f>
        <v>7.1400000000000006</v>
      </c>
      <c r="K28" s="182">
        <f t="shared" ref="K28:K34" si="27">K27-G28</f>
        <v>14.75</v>
      </c>
      <c r="L28" s="182">
        <f t="shared" si="18"/>
        <v>4.8900000000000006</v>
      </c>
      <c r="O28" s="182">
        <f t="shared" si="15"/>
        <v>127.31999999999992</v>
      </c>
      <c r="Q28" s="182">
        <f t="shared" si="25"/>
        <v>12.89</v>
      </c>
      <c r="R28" s="182">
        <f t="shared" si="22"/>
        <v>9.75</v>
      </c>
      <c r="U28" s="184">
        <f t="shared" si="9"/>
        <v>30.029999999999959</v>
      </c>
      <c r="V28" s="201">
        <f>IF(H27="AFIII",VLOOKUP(D28,Sheet1!$A$4:$H$18,5,FALSE),IF(H27="UBIII",VLOOKUP(D28,Sheet1!$A$4:$H$18,8,FALSE),IF(H27="",VLOOKUP(D28,Sheet1!$A$4:$H$18,2,FALSE),"0")))</f>
        <v>1768</v>
      </c>
      <c r="W28" s="201">
        <f t="shared" si="2"/>
        <v>0</v>
      </c>
      <c r="X28" s="208">
        <f t="shared" si="20"/>
        <v>9149</v>
      </c>
      <c r="Y28" s="171" t="str">
        <f t="shared" si="4"/>
        <v>SUCCESS</v>
      </c>
      <c r="Z28" s="171" t="str">
        <f t="shared" si="5"/>
        <v>SUCCESS</v>
      </c>
      <c r="AA28" s="185">
        <f t="shared" si="6"/>
        <v>159.02951475737871</v>
      </c>
    </row>
    <row r="29" spans="1:27">
      <c r="A29" s="112">
        <f>ROUNDDOWN(IF(N28-G29&gt;0,(IF(H28="AFIII",VLOOKUP(D29,Sheet1!$K$4:$S$19,5,FALSE),IF(H28="UBIII",VLOOKUP(D29,Sheet1!$K$4:$S$19,8,FALSE),VLOOKUP(D29,Sheet1!$K$4:$S$19,2,FALSE)))*1.2),IF(H28="AFIII",VLOOKUP(D29,Sheet1!$K$4:$S$19,5,FALSE),IF(H28="UBIII",VLOOKUP(D29,Sheet1!$K$4:$S$19,8,FALSE),VLOOKUP(D29,Sheet1!$K$4:$S$19,2,FALSE)))),0)</f>
        <v>504</v>
      </c>
      <c r="B29" s="113">
        <f t="shared" si="0"/>
        <v>10041</v>
      </c>
      <c r="C29" s="118">
        <f t="shared" si="21"/>
        <v>62.83</v>
      </c>
      <c r="D29" s="181" t="s">
        <v>5</v>
      </c>
      <c r="E29" s="182">
        <f>IF(H28="AFIII",VLOOKUP($D29,Sheet1!$A$34:$K$48,5,FALSE),IF(H28="UBIII",VLOOKUP($D29,Sheet1!$A$34:$K$48,8,FALSE),VLOOKUP($D29,Sheet1!$A$34:$K$48,2,FALSE)))</f>
        <v>2.86</v>
      </c>
      <c r="F29" s="182">
        <f>ROUNDDOWN((IF(H28="AFIII",VLOOKUP($D29,Sheet1!$A$34:$K$48,5,FALSE),IF(H28="UBIII",VLOOKUP($D29,Sheet1!$A$34:$K$48,8,FALSE),VLOOKUP($D29,Sheet1!$A$34:$K$48,2,FALSE))))*0.85,2)</f>
        <v>2.4300000000000002</v>
      </c>
      <c r="G29" s="182">
        <f t="shared" si="24"/>
        <v>2.86</v>
      </c>
      <c r="H29" s="183" t="s">
        <v>84</v>
      </c>
      <c r="I29" s="182">
        <f t="shared" ref="I29" si="28">I28-G29</f>
        <v>4.2800000000000011</v>
      </c>
      <c r="K29" s="182">
        <f t="shared" si="27"/>
        <v>11.89</v>
      </c>
      <c r="L29" s="182">
        <f t="shared" si="18"/>
        <v>2.0300000000000007</v>
      </c>
      <c r="O29" s="182">
        <f t="shared" si="15"/>
        <v>124.45999999999992</v>
      </c>
      <c r="Q29" s="182">
        <f t="shared" si="25"/>
        <v>10.030000000000001</v>
      </c>
      <c r="R29" s="182">
        <f t="shared" si="22"/>
        <v>6.8900000000000006</v>
      </c>
      <c r="U29" s="184">
        <f t="shared" si="9"/>
        <v>27.169999999999959</v>
      </c>
      <c r="V29" s="201">
        <f>IF(H28="AFIII",VLOOKUP(D29,Sheet1!$A$4:$H$18,5,FALSE),IF(H28="UBIII",VLOOKUP(D29,Sheet1!$A$4:$H$18,8,FALSE),IF(H28="",VLOOKUP(D29,Sheet1!$A$4:$H$18,2,FALSE),"0")))</f>
        <v>1768</v>
      </c>
      <c r="W29" s="201">
        <f t="shared" si="2"/>
        <v>0</v>
      </c>
      <c r="X29" s="208">
        <f t="shared" si="20"/>
        <v>7381</v>
      </c>
      <c r="Y29" s="171" t="str">
        <f t="shared" si="4"/>
        <v>SUCCESS</v>
      </c>
      <c r="Z29" s="171" t="str">
        <f t="shared" si="5"/>
        <v>SUCCESS</v>
      </c>
      <c r="AA29" s="185">
        <f t="shared" si="6"/>
        <v>159.8121916282031</v>
      </c>
    </row>
    <row r="30" spans="1:27">
      <c r="A30" s="112">
        <f>ROUNDDOWN(IF(N29-G30&gt;0,(IF(H29="AFIII",VLOOKUP(D30,Sheet1!$K$4:$S$19,5,FALSE),IF(H29="UBIII",VLOOKUP(D30,Sheet1!$K$4:$S$19,8,FALSE),VLOOKUP(D30,Sheet1!$K$4:$S$19,2,FALSE)))*1.2),IF(H29="AFIII",VLOOKUP(D30,Sheet1!$K$4:$S$19,5,FALSE),IF(H29="UBIII",VLOOKUP(D30,Sheet1!$K$4:$S$19,8,FALSE),VLOOKUP(D30,Sheet1!$K$4:$S$19,2,FALSE)))),0)</f>
        <v>324</v>
      </c>
      <c r="B30" s="113">
        <f t="shared" si="0"/>
        <v>10365</v>
      </c>
      <c r="C30" s="118">
        <f t="shared" si="21"/>
        <v>65.22</v>
      </c>
      <c r="D30" s="181" t="s">
        <v>1</v>
      </c>
      <c r="E30" s="182">
        <f>IF(H29="AFIII",VLOOKUP($D30,Sheet1!$A$34:$K$48,5,FALSE),IF(H29="UBIII",VLOOKUP($D30,Sheet1!$A$34:$K$48,8,FALSE),VLOOKUP($D30,Sheet1!$A$34:$K$48,2,FALSE)))</f>
        <v>2.39</v>
      </c>
      <c r="F30" s="182">
        <f>ROUNDDOWN((IF(H29="AFIII",VLOOKUP($D30,Sheet1!$A$34:$K$48,5,FALSE),IF(H29="UBIII",VLOOKUP($D30,Sheet1!$A$34:$K$48,8,FALSE),VLOOKUP($D30,Sheet1!$A$34:$K$48,2,FALSE))))*0.85,2)</f>
        <v>2.0299999999999998</v>
      </c>
      <c r="G30" s="182">
        <f t="shared" si="24"/>
        <v>2.39</v>
      </c>
      <c r="H30" s="183" t="s">
        <v>84</v>
      </c>
      <c r="I30" s="182">
        <v>10</v>
      </c>
      <c r="K30" s="182">
        <f t="shared" si="27"/>
        <v>9.5</v>
      </c>
      <c r="L30" s="182">
        <f t="shared" si="18"/>
        <v>-0.35999999999999943</v>
      </c>
      <c r="O30" s="182">
        <f t="shared" si="15"/>
        <v>122.06999999999992</v>
      </c>
      <c r="Q30" s="182">
        <f t="shared" si="25"/>
        <v>7.6400000000000006</v>
      </c>
      <c r="R30" s="182">
        <f>R29-G30</f>
        <v>4.5</v>
      </c>
      <c r="U30" s="184">
        <f t="shared" si="9"/>
        <v>24.779999999999959</v>
      </c>
      <c r="V30" s="201">
        <f>IF(H29="AFIII",VLOOKUP(D30,Sheet1!$A$4:$H$18,5,FALSE),IF(H29="UBIII",VLOOKUP(D30,Sheet1!$A$4:$H$18,8,FALSE),IF(H29="",VLOOKUP(D30,Sheet1!$A$4:$H$18,2,FALSE),"0")))</f>
        <v>2120</v>
      </c>
      <c r="W30" s="201">
        <f t="shared" si="2"/>
        <v>0</v>
      </c>
      <c r="X30" s="208">
        <f t="shared" si="20"/>
        <v>5261</v>
      </c>
      <c r="Y30" s="171" t="str">
        <f t="shared" si="4"/>
        <v>SUCCESS</v>
      </c>
      <c r="Z30" s="171" t="str">
        <f t="shared" si="5"/>
        <v>SUCCESS</v>
      </c>
      <c r="AA30" s="185">
        <f t="shared" si="6"/>
        <v>158.92364305427782</v>
      </c>
    </row>
    <row r="31" spans="1:27">
      <c r="A31" s="112">
        <f>ROUNDDOWN(IF(N30-G31&gt;0,(IF(H30="AFIII",VLOOKUP(D31,Sheet1!$K$4:$S$19,5,FALSE),IF(H30="UBIII",VLOOKUP(D31,Sheet1!$K$4:$S$19,8,FALSE),VLOOKUP(D31,Sheet1!$K$4:$S$19,2,FALSE)))*1.2),IF(H30="AFIII",VLOOKUP(D31,Sheet1!$K$4:$S$19,5,FALSE),IF(H30="UBIII",VLOOKUP(D31,Sheet1!$K$4:$S$19,8,FALSE),VLOOKUP(D31,Sheet1!$K$4:$S$19,2,FALSE)))),0)</f>
        <v>504</v>
      </c>
      <c r="B31" s="113">
        <f t="shared" si="0"/>
        <v>10869</v>
      </c>
      <c r="C31" s="118">
        <f t="shared" si="21"/>
        <v>68.08</v>
      </c>
      <c r="D31" s="181" t="s">
        <v>6</v>
      </c>
      <c r="E31" s="182">
        <f>IF(H30="AFIII",VLOOKUP($D31,Sheet1!$A$34:$K$48,5,FALSE),IF(H30="UBIII",VLOOKUP($D31,Sheet1!$A$34:$K$48,8,FALSE),VLOOKUP($D31,Sheet1!$A$34:$K$48,2,FALSE)))</f>
        <v>2.86</v>
      </c>
      <c r="F31" s="182">
        <f>ROUNDDOWN((IF(H30="AFIII",VLOOKUP($D31,Sheet1!$A$34:$K$48,5,FALSE),IF(H30="UBIII",VLOOKUP($D31,Sheet1!$A$34:$K$48,8,FALSE),VLOOKUP($D31,Sheet1!$A$34:$K$48,2,FALSE))))*0.85,2)</f>
        <v>2.4300000000000002</v>
      </c>
      <c r="G31" s="182">
        <f t="shared" si="24"/>
        <v>2.86</v>
      </c>
      <c r="H31" s="183" t="s">
        <v>84</v>
      </c>
      <c r="I31" s="182">
        <f>I30-G31</f>
        <v>7.1400000000000006</v>
      </c>
      <c r="K31" s="182">
        <f t="shared" si="27"/>
        <v>6.6400000000000006</v>
      </c>
      <c r="L31" s="182">
        <f t="shared" si="18"/>
        <v>-3.2199999999999993</v>
      </c>
      <c r="O31" s="182">
        <f t="shared" si="15"/>
        <v>119.20999999999992</v>
      </c>
      <c r="Q31" s="182">
        <f t="shared" si="25"/>
        <v>4.7800000000000011</v>
      </c>
      <c r="R31" s="182">
        <f t="shared" ref="R31:R35" si="29">R30-G31</f>
        <v>1.6400000000000001</v>
      </c>
      <c r="U31" s="184">
        <f t="shared" si="9"/>
        <v>21.919999999999959</v>
      </c>
      <c r="V31" s="201">
        <f>IF(H30="AFIII",VLOOKUP(D31,Sheet1!$A$4:$H$18,5,FALSE),IF(H30="UBIII",VLOOKUP(D31,Sheet1!$A$4:$H$18,8,FALSE),IF(H30="",VLOOKUP(D31,Sheet1!$A$4:$H$18,2,FALSE),"0")))</f>
        <v>1768</v>
      </c>
      <c r="W31" s="201">
        <f t="shared" si="2"/>
        <v>0</v>
      </c>
      <c r="X31" s="208">
        <f t="shared" si="20"/>
        <v>3493</v>
      </c>
      <c r="Y31" s="171" t="str">
        <f t="shared" si="4"/>
        <v>SUCCESS</v>
      </c>
      <c r="Z31" s="171" t="str">
        <f t="shared" si="5"/>
        <v>SUCCESS</v>
      </c>
      <c r="AA31" s="185">
        <f t="shared" si="6"/>
        <v>159.65041128084607</v>
      </c>
    </row>
    <row r="32" spans="1:27">
      <c r="A32" s="112">
        <f>ROUNDDOWN(IF(N31-G32&gt;0,(IF(H31="AFIII",VLOOKUP(D32,Sheet1!$K$4:$S$19,5,FALSE),IF(H31="UBIII",VLOOKUP(D32,Sheet1!$K$4:$S$19,8,FALSE),VLOOKUP(D32,Sheet1!$K$4:$S$19,2,FALSE)))*1.2),IF(H31="AFIII",VLOOKUP(D32,Sheet1!$K$4:$S$19,5,FALSE),IF(H31="UBIII",VLOOKUP(D32,Sheet1!$K$4:$S$19,8,FALSE),VLOOKUP(D32,Sheet1!$K$4:$S$19,2,FALSE)))),0)</f>
        <v>504</v>
      </c>
      <c r="B32" s="113">
        <f t="shared" si="0"/>
        <v>11373</v>
      </c>
      <c r="C32" s="118">
        <f t="shared" si="21"/>
        <v>70.94</v>
      </c>
      <c r="D32" s="181" t="s">
        <v>6</v>
      </c>
      <c r="E32" s="182">
        <f>IF(H31="AFIII",VLOOKUP($D32,Sheet1!$A$34:$K$48,5,FALSE),IF(H31="UBIII",VLOOKUP($D32,Sheet1!$A$34:$K$48,8,FALSE),VLOOKUP($D32,Sheet1!$A$34:$K$48,2,FALSE)))</f>
        <v>2.86</v>
      </c>
      <c r="F32" s="182">
        <f>ROUNDDOWN((IF(H31="AFIII",VLOOKUP($D32,Sheet1!$A$34:$K$48,5,FALSE),IF(H31="UBIII",VLOOKUP($D32,Sheet1!$A$34:$K$48,8,FALSE),VLOOKUP($D32,Sheet1!$A$34:$K$48,2,FALSE))))*0.85,2)</f>
        <v>2.4300000000000002</v>
      </c>
      <c r="G32" s="182">
        <f t="shared" si="24"/>
        <v>2.86</v>
      </c>
      <c r="H32" s="183" t="s">
        <v>84</v>
      </c>
      <c r="I32" s="182">
        <f>I31-G32</f>
        <v>4.2800000000000011</v>
      </c>
      <c r="K32" s="182">
        <f t="shared" si="27"/>
        <v>3.7800000000000007</v>
      </c>
      <c r="L32" s="182">
        <f t="shared" si="18"/>
        <v>-6.0799999999999992</v>
      </c>
      <c r="O32" s="182">
        <f t="shared" si="15"/>
        <v>116.34999999999992</v>
      </c>
      <c r="Q32" s="182">
        <f t="shared" si="25"/>
        <v>1.9200000000000013</v>
      </c>
      <c r="R32" s="182">
        <f t="shared" si="29"/>
        <v>-1.2199999999999998</v>
      </c>
      <c r="U32" s="184">
        <f t="shared" si="9"/>
        <v>19.05999999999996</v>
      </c>
      <c r="V32" s="201">
        <f>IF(H31="AFIII",VLOOKUP(D32,Sheet1!$A$4:$H$18,5,FALSE),IF(H31="UBIII",VLOOKUP(D32,Sheet1!$A$4:$H$18,8,FALSE),IF(H31="",VLOOKUP(D32,Sheet1!$A$4:$H$18,2,FALSE),"0")))</f>
        <v>1768</v>
      </c>
      <c r="W32" s="201">
        <f t="shared" si="2"/>
        <v>0</v>
      </c>
      <c r="X32" s="208">
        <f t="shared" si="20"/>
        <v>1725</v>
      </c>
      <c r="Y32" s="171" t="str">
        <f t="shared" si="4"/>
        <v>SUCCESS</v>
      </c>
      <c r="Z32" s="171" t="str">
        <f t="shared" si="5"/>
        <v>SUCCESS</v>
      </c>
      <c r="AA32" s="185">
        <f t="shared" si="6"/>
        <v>160.31857908091345</v>
      </c>
    </row>
    <row r="33" spans="1:27">
      <c r="A33" s="112">
        <f>ROUNDDOWN(IF(N32-G33&gt;0,(IF(H32="AFIII",VLOOKUP(D33,Sheet1!$K$4:$S$19,5,FALSE),IF(H32="UBIII",VLOOKUP(D33,Sheet1!$K$4:$S$19,8,FALSE),VLOOKUP(D33,Sheet1!$K$4:$S$19,2,FALSE)))*1.2),IF(H32="AFIII",VLOOKUP(D33,Sheet1!$K$4:$S$19,5,FALSE),IF(H32="UBIII",VLOOKUP(D33,Sheet1!$K$4:$S$19,8,FALSE),VLOOKUP(D33,Sheet1!$K$4:$S$19,2,FALSE)))),0)</f>
        <v>168</v>
      </c>
      <c r="B33" s="113">
        <f t="shared" si="0"/>
        <v>11541</v>
      </c>
      <c r="C33" s="118">
        <f t="shared" si="21"/>
        <v>73.33</v>
      </c>
      <c r="D33" s="181" t="s">
        <v>12</v>
      </c>
      <c r="E33" s="182">
        <f>IF(H32="AFIII",VLOOKUP($D33,Sheet1!$A$34:$K$48,5,FALSE),IF(H32="UBIII",VLOOKUP($D33,Sheet1!$A$34:$K$48,8,FALSE),VLOOKUP($D33,Sheet1!$A$34:$K$48,2,FALSE)))</f>
        <v>1.67</v>
      </c>
      <c r="F33" s="182">
        <f>ROUNDDOWN((IF(H32="AFIII",VLOOKUP($D33,Sheet1!$A$34:$K$48,5,FALSE),IF(H32="UBIII",VLOOKUP($D33,Sheet1!$A$34:$K$48,8,FALSE),VLOOKUP($D33,Sheet1!$A$34:$K$48,2,FALSE))))*0.85,2)</f>
        <v>1.41</v>
      </c>
      <c r="G33" s="182">
        <f t="shared" si="24"/>
        <v>2.39</v>
      </c>
      <c r="H33" s="183" t="s">
        <v>122</v>
      </c>
      <c r="I33" s="182">
        <v>10</v>
      </c>
      <c r="K33" s="182">
        <f t="shared" si="27"/>
        <v>1.3900000000000006</v>
      </c>
      <c r="L33" s="182">
        <f t="shared" si="18"/>
        <v>-8.4699999999999989</v>
      </c>
      <c r="O33" s="182">
        <f t="shared" si="15"/>
        <v>113.95999999999992</v>
      </c>
      <c r="Q33" s="182">
        <f t="shared" si="25"/>
        <v>-0.46999999999999886</v>
      </c>
      <c r="U33" s="184">
        <f t="shared" si="9"/>
        <v>16.669999999999959</v>
      </c>
      <c r="V33" s="201">
        <f>IF(H32="AFIII",VLOOKUP(D33,Sheet1!$A$4:$H$18,5,FALSE),IF(H32="UBIII",VLOOKUP(D33,Sheet1!$A$4:$H$18,8,FALSE),IF(H32="",VLOOKUP(D33,Sheet1!$A$4:$H$18,2,FALSE),"0")))</f>
        <v>265</v>
      </c>
      <c r="W33" s="201">
        <f t="shared" si="2"/>
        <v>0</v>
      </c>
      <c r="X33" s="208">
        <f t="shared" si="20"/>
        <v>1460</v>
      </c>
      <c r="Y33" s="171" t="str">
        <f t="shared" si="4"/>
        <v>SUCCESS</v>
      </c>
      <c r="Z33" s="171" t="str">
        <f t="shared" si="5"/>
        <v>SUCCESS</v>
      </c>
      <c r="AA33" s="185">
        <f t="shared" si="6"/>
        <v>157.38442656484386</v>
      </c>
    </row>
    <row r="34" spans="1:27">
      <c r="A34" s="122">
        <f>ROUNDDOWN(IF(N33-G34&gt;0,(IF(H33="AFIII",VLOOKUP(D34,Sheet1!$K$4:$S$19,5,FALSE),IF(H33="UBIII",VLOOKUP(D34,Sheet1!$K$4:$S$19,8,FALSE),VLOOKUP(D34,Sheet1!$K$4:$S$19,2,FALSE)))*1.2),IF(H33="AFIII",VLOOKUP(D34,Sheet1!$K$4:$S$19,5,FALSE),IF(H33="UBIII",VLOOKUP(D34,Sheet1!$K$4:$S$19,8,FALSE),VLOOKUP(D34,Sheet1!$K$4:$S$19,2,FALSE)))),0)</f>
        <v>295</v>
      </c>
      <c r="B34" s="123">
        <f t="shared" si="0"/>
        <v>11836</v>
      </c>
      <c r="C34" s="124">
        <f t="shared" si="21"/>
        <v>76.19</v>
      </c>
      <c r="D34" s="186" t="s">
        <v>19</v>
      </c>
      <c r="E34" s="187">
        <f>IF(H33="AFIII",VLOOKUP($D34,Sheet1!$A$34:$K$48,5,FALSE),IF(H33="UBIII",VLOOKUP($D34,Sheet1!$A$34:$K$48,8,FALSE),VLOOKUP($D34,Sheet1!$A$34:$K$48,2,FALSE)))</f>
        <v>2.86</v>
      </c>
      <c r="F34" s="187">
        <f>ROUNDDOWN((IF(H33="AFIII",VLOOKUP($D34,Sheet1!$A$34:$K$48,5,FALSE),IF(H33="UBIII",VLOOKUP($D34,Sheet1!$A$34:$K$48,8,FALSE),VLOOKUP($D34,Sheet1!$A$34:$K$48,2,FALSE))))*0.85,2)</f>
        <v>2.4300000000000002</v>
      </c>
      <c r="G34" s="187">
        <f t="shared" si="24"/>
        <v>2.86</v>
      </c>
      <c r="H34" s="188" t="s">
        <v>122</v>
      </c>
      <c r="I34" s="187">
        <f>I33-G34</f>
        <v>7.1400000000000006</v>
      </c>
      <c r="J34" s="188"/>
      <c r="K34" s="187">
        <f t="shared" si="27"/>
        <v>-1.4699999999999993</v>
      </c>
      <c r="L34" s="187">
        <f t="shared" si="18"/>
        <v>-11.329999999999998</v>
      </c>
      <c r="M34" s="188"/>
      <c r="N34" s="187"/>
      <c r="O34" s="187">
        <f t="shared" si="15"/>
        <v>111.09999999999992</v>
      </c>
      <c r="P34" s="188"/>
      <c r="Q34" s="187"/>
      <c r="R34" s="187"/>
      <c r="S34" s="188"/>
      <c r="T34" s="187"/>
      <c r="U34" s="189">
        <f t="shared" si="9"/>
        <v>13.80999999999996</v>
      </c>
      <c r="V34" s="209">
        <f>IF(H33="AFIII",VLOOKUP(D34,Sheet1!$A$4:$H$18,5,FALSE),IF(H33="UBIII",VLOOKUP(D34,Sheet1!$A$4:$H$18,8,FALSE),IF(H33="",VLOOKUP(D34,Sheet1!$A$4:$H$18,2,FALSE),"0")))</f>
        <v>1060</v>
      </c>
      <c r="W34" s="209">
        <f t="shared" si="2"/>
        <v>7033</v>
      </c>
      <c r="X34" s="210">
        <f t="shared" si="20"/>
        <v>7433</v>
      </c>
      <c r="Y34" s="190" t="str">
        <f t="shared" si="4"/>
        <v>SUCCESS</v>
      </c>
      <c r="Z34" s="190" t="str">
        <f t="shared" si="5"/>
        <v>ERROR</v>
      </c>
      <c r="AA34" s="185">
        <f t="shared" si="6"/>
        <v>155.34847092794331</v>
      </c>
    </row>
    <row r="35" spans="1:27">
      <c r="A35" s="112">
        <f>ROUNDDOWN(IF(N34-G35&gt;0,(IF(H34="AFIII",VLOOKUP(D35,Sheet1!$K$4:$S$19,5,FALSE),IF(H34="UBIII",VLOOKUP(D35,Sheet1!$K$4:$S$19,8,FALSE),VLOOKUP(D35,Sheet1!$K$4:$S$19,2,FALSE)))*1.2),IF(H34="AFIII",VLOOKUP(D35,Sheet1!$K$4:$S$19,5,FALSE),IF(H34="UBIII",VLOOKUP(D35,Sheet1!$K$4:$S$19,8,FALSE),VLOOKUP(D35,Sheet1!$K$4:$S$19,2,FALSE)))),0)</f>
        <v>168</v>
      </c>
      <c r="B35" s="113">
        <f t="shared" ref="B35:B63" si="30">B34+A35</f>
        <v>12004</v>
      </c>
      <c r="C35" s="118">
        <f t="shared" si="21"/>
        <v>78.58</v>
      </c>
      <c r="D35" s="181" t="s">
        <v>4</v>
      </c>
      <c r="E35" s="182">
        <f>IF(H34="AFIII",VLOOKUP($D35,Sheet1!$A$34:$K$48,5,FALSE),IF(H34="UBIII",VLOOKUP($D35,Sheet1!$A$34:$K$48,8,FALSE),VLOOKUP($D35,Sheet1!$A$34:$K$48,2,FALSE)))</f>
        <v>1.67</v>
      </c>
      <c r="F35" s="182">
        <f>ROUNDDOWN((IF(H34="AFIII",VLOOKUP($D35,Sheet1!$A$34:$K$48,5,FALSE),IF(H34="UBIII",VLOOKUP($D35,Sheet1!$A$34:$K$48,8,FALSE),VLOOKUP($D35,Sheet1!$A$34:$K$48,2,FALSE))))*0.85,2)</f>
        <v>1.41</v>
      </c>
      <c r="G35" s="182">
        <f t="shared" si="24"/>
        <v>2.39</v>
      </c>
      <c r="H35" s="183" t="s">
        <v>84</v>
      </c>
      <c r="I35" s="182">
        <v>10</v>
      </c>
      <c r="J35" s="183" t="s">
        <v>105</v>
      </c>
      <c r="K35" s="182">
        <v>30</v>
      </c>
      <c r="L35" s="182">
        <v>60</v>
      </c>
      <c r="O35" s="182">
        <f t="shared" si="15"/>
        <v>108.70999999999992</v>
      </c>
      <c r="U35" s="184">
        <f t="shared" ref="U35:U63" si="31">U34-G35</f>
        <v>11.419999999999959</v>
      </c>
      <c r="V35" s="201">
        <f>IF(H34="AFIII",VLOOKUP(D35,Sheet1!$A$4:$H$18,5,FALSE),IF(H34="UBIII",VLOOKUP(D35,Sheet1!$A$4:$H$18,8,FALSE),IF(H34="",VLOOKUP(D35,Sheet1!$A$4:$H$18,2,FALSE),"0")))</f>
        <v>442</v>
      </c>
      <c r="W35" s="201">
        <f t="shared" ref="W35:W63" si="32">IF(H34="UBIII",$X$2,0)</f>
        <v>7033</v>
      </c>
      <c r="X35" s="208">
        <f t="shared" si="20"/>
        <v>10917</v>
      </c>
      <c r="Y35" s="171" t="str">
        <f t="shared" ref="Y35:Y63" si="33">IF(X34-V35&lt;0,"ERROR","SUCCESS")</f>
        <v>SUCCESS</v>
      </c>
      <c r="Z35" s="171" t="str">
        <f t="shared" ref="Z35:Z63" si="34">IF(K34-G35&lt;0,"ERROR","SUCCESS")</f>
        <v>ERROR</v>
      </c>
      <c r="AA35" s="185">
        <f t="shared" ref="AA35:AA63" si="35">B35/C35</f>
        <v>152.76151692542632</v>
      </c>
    </row>
    <row r="36" spans="1:27">
      <c r="A36" s="112">
        <f>ROUNDDOWN(IF(N35-G36&gt;0,(IF(H35="AFIII",VLOOKUP(D36,Sheet1!$K$4:$S$19,5,FALSE),IF(H35="UBIII",VLOOKUP(D36,Sheet1!$K$4:$S$19,8,FALSE),VLOOKUP(D36,Sheet1!$K$4:$S$19,2,FALSE)))*1.2),IF(H35="AFIII",VLOOKUP(D36,Sheet1!$K$4:$S$19,5,FALSE),IF(H35="UBIII",VLOOKUP(D36,Sheet1!$K$4:$S$19,8,FALSE),VLOOKUP(D36,Sheet1!$K$4:$S$19,2,FALSE)))),0)</f>
        <v>504</v>
      </c>
      <c r="B36" s="113">
        <f t="shared" si="30"/>
        <v>12508</v>
      </c>
      <c r="C36" s="118">
        <f t="shared" si="21"/>
        <v>81.44</v>
      </c>
      <c r="D36" s="181" t="s">
        <v>6</v>
      </c>
      <c r="E36" s="182">
        <f>IF(H35="AFIII",VLOOKUP($D36,Sheet1!$A$34:$K$48,5,FALSE),IF(H35="UBIII",VLOOKUP($D36,Sheet1!$A$34:$K$48,8,FALSE),VLOOKUP($D36,Sheet1!$A$34:$K$48,2,FALSE)))</f>
        <v>2.86</v>
      </c>
      <c r="F36" s="182">
        <f>ROUNDDOWN((IF(H35="AFIII",VLOOKUP($D36,Sheet1!$A$34:$K$48,5,FALSE),IF(H35="UBIII",VLOOKUP($D36,Sheet1!$A$34:$K$48,8,FALSE),VLOOKUP($D36,Sheet1!$A$34:$K$48,2,FALSE))))*0.85,2)</f>
        <v>2.4300000000000002</v>
      </c>
      <c r="G36" s="182">
        <f>IF(M35="迅速",IF(S35="黒魔紋",$F$1,$E$1),IF(S35="黒魔紋",IF(F36&lt;$F$1,$F$1,F36),IF(E36&lt;$E$1,$E$1,E36)))</f>
        <v>2.86</v>
      </c>
      <c r="H36" s="183" t="s">
        <v>84</v>
      </c>
      <c r="I36" s="182">
        <f>I35-G36</f>
        <v>7.1400000000000006</v>
      </c>
      <c r="K36" s="182">
        <f>K35-G36</f>
        <v>27.14</v>
      </c>
      <c r="L36" s="182">
        <f>L35-G36</f>
        <v>57.14</v>
      </c>
      <c r="N36" s="182">
        <v>20</v>
      </c>
      <c r="O36" s="182">
        <f t="shared" si="15"/>
        <v>105.84999999999992</v>
      </c>
      <c r="U36" s="184">
        <f t="shared" si="31"/>
        <v>8.5599999999999596</v>
      </c>
      <c r="V36" s="201">
        <f>IF(H35="AFIII",VLOOKUP(D36,Sheet1!$A$4:$H$18,5,FALSE),IF(H35="UBIII",VLOOKUP(D36,Sheet1!$A$4:$H$18,8,FALSE),IF(H35="",VLOOKUP(D36,Sheet1!$A$4:$H$18,2,FALSE),"0")))</f>
        <v>1768</v>
      </c>
      <c r="W36" s="201">
        <f t="shared" si="32"/>
        <v>0</v>
      </c>
      <c r="X36" s="208">
        <f t="shared" si="20"/>
        <v>9149</v>
      </c>
      <c r="Y36" s="171" t="str">
        <f t="shared" si="33"/>
        <v>SUCCESS</v>
      </c>
      <c r="Z36" s="171" t="str">
        <f t="shared" si="34"/>
        <v>SUCCESS</v>
      </c>
      <c r="AA36" s="185">
        <f t="shared" si="35"/>
        <v>153.58546168958742</v>
      </c>
    </row>
    <row r="37" spans="1:27">
      <c r="A37" s="112">
        <f>ROUNDDOWN(IF(N36-G37&gt;0,(IF(H36="AFIII",VLOOKUP(D37,Sheet1!$K$4:$S$19,5,FALSE),IF(H36="UBIII",VLOOKUP(D37,Sheet1!$K$4:$S$19,8,FALSE),VLOOKUP(D37,Sheet1!$K$4:$S$19,2,FALSE)))*1.2),IF(H36="AFIII",VLOOKUP(D37,Sheet1!$K$4:$S$19,5,FALSE),IF(H36="UBIII",VLOOKUP(D37,Sheet1!$K$4:$S$19,8,FALSE),VLOOKUP(D37,Sheet1!$K$4:$S$19,2,FALSE)))),0)</f>
        <v>604</v>
      </c>
      <c r="B37" s="113">
        <f t="shared" si="30"/>
        <v>13112</v>
      </c>
      <c r="C37" s="118">
        <f t="shared" si="21"/>
        <v>84.3</v>
      </c>
      <c r="D37" s="181" t="s">
        <v>6</v>
      </c>
      <c r="E37" s="182">
        <f>IF(H36="AFIII",VLOOKUP($D37,Sheet1!$A$34:$K$48,5,FALSE),IF(H36="UBIII",VLOOKUP($D37,Sheet1!$A$34:$K$48,8,FALSE),VLOOKUP($D37,Sheet1!$A$34:$K$48,2,FALSE)))</f>
        <v>2.86</v>
      </c>
      <c r="F37" s="182">
        <f>ROUNDDOWN((IF(H36="AFIII",VLOOKUP($D37,Sheet1!$A$34:$K$48,5,FALSE),IF(H36="UBIII",VLOOKUP($D37,Sheet1!$A$34:$K$48,8,FALSE),VLOOKUP($D37,Sheet1!$A$34:$K$48,2,FALSE))))*0.85,2)</f>
        <v>2.4300000000000002</v>
      </c>
      <c r="G37" s="182">
        <f t="shared" ref="G37:G49" si="36">IF(M36="迅速",IF(S36="黒魔紋",$F$1,$E$1),IF(S36="黒魔紋",IF(F37&lt;$F$1,$F$1,F37),IF(E37&lt;$E$1,$E$1,E37)))</f>
        <v>2.86</v>
      </c>
      <c r="H37" s="183" t="s">
        <v>84</v>
      </c>
      <c r="I37" s="182">
        <f t="shared" ref="I37" si="37">I36-G37</f>
        <v>4.2800000000000011</v>
      </c>
      <c r="K37" s="182">
        <f t="shared" ref="K37:K38" si="38">K36-G37</f>
        <v>24.28</v>
      </c>
      <c r="L37" s="182">
        <f t="shared" ref="L37:L38" si="39">L36-G37</f>
        <v>54.28</v>
      </c>
      <c r="N37" s="182">
        <f>N36-G37</f>
        <v>17.14</v>
      </c>
      <c r="O37" s="182">
        <f t="shared" si="15"/>
        <v>102.98999999999992</v>
      </c>
      <c r="P37" s="183" t="s">
        <v>131</v>
      </c>
      <c r="R37" s="182">
        <v>60</v>
      </c>
      <c r="U37" s="184">
        <f t="shared" si="31"/>
        <v>5.6999999999999602</v>
      </c>
      <c r="V37" s="201">
        <f>IF(H36="AFIII",VLOOKUP(D37,Sheet1!$A$4:$H$18,5,FALSE),IF(H36="UBIII",VLOOKUP(D37,Sheet1!$A$4:$H$18,8,FALSE),IF(H36="",VLOOKUP(D37,Sheet1!$A$4:$H$18,2,FALSE),"0")))</f>
        <v>1768</v>
      </c>
      <c r="W37" s="201">
        <f t="shared" si="32"/>
        <v>0</v>
      </c>
      <c r="X37" s="208">
        <f t="shared" si="20"/>
        <v>7381</v>
      </c>
      <c r="Y37" s="171" t="str">
        <f t="shared" si="33"/>
        <v>SUCCESS</v>
      </c>
      <c r="Z37" s="171" t="str">
        <f t="shared" si="34"/>
        <v>SUCCESS</v>
      </c>
      <c r="AA37" s="185">
        <f t="shared" si="35"/>
        <v>155.5397390272835</v>
      </c>
    </row>
    <row r="38" spans="1:27">
      <c r="A38" s="112">
        <f>ROUNDDOWN(IF(N37-G38&gt;0,(IF(H37="AFIII",VLOOKUP(D38,Sheet1!$K$4:$S$19,5,FALSE),IF(H37="UBIII",VLOOKUP(D38,Sheet1!$K$4:$S$19,8,FALSE),VLOOKUP(D38,Sheet1!$K$4:$S$19,2,FALSE)))*1.2),IF(H37="AFIII",VLOOKUP(D38,Sheet1!$K$4:$S$19,5,FALSE),IF(H37="UBIII",VLOOKUP(D38,Sheet1!$K$4:$S$19,8,FALSE),VLOOKUP(D38,Sheet1!$K$4:$S$19,2,FALSE)))),0)</f>
        <v>388</v>
      </c>
      <c r="B38" s="113">
        <f t="shared" si="30"/>
        <v>13500</v>
      </c>
      <c r="C38" s="118">
        <f t="shared" si="21"/>
        <v>86.69</v>
      </c>
      <c r="D38" s="181" t="s">
        <v>1</v>
      </c>
      <c r="E38" s="182">
        <f>IF(H37="AFIII",VLOOKUP($D38,Sheet1!$A$34:$K$48,5,FALSE),IF(H37="UBIII",VLOOKUP($D38,Sheet1!$A$34:$K$48,8,FALSE),VLOOKUP($D38,Sheet1!$A$34:$K$48,2,FALSE)))</f>
        <v>2.39</v>
      </c>
      <c r="F38" s="182">
        <f>ROUNDDOWN((IF(H37="AFIII",VLOOKUP($D38,Sheet1!$A$34:$K$48,5,FALSE),IF(H37="UBIII",VLOOKUP($D38,Sheet1!$A$34:$K$48,8,FALSE),VLOOKUP($D38,Sheet1!$A$34:$K$48,2,FALSE))))*0.85,2)</f>
        <v>2.0299999999999998</v>
      </c>
      <c r="G38" s="182">
        <f t="shared" si="36"/>
        <v>2.39</v>
      </c>
      <c r="H38" s="183" t="s">
        <v>84</v>
      </c>
      <c r="I38" s="182">
        <v>10</v>
      </c>
      <c r="K38" s="182">
        <f t="shared" si="38"/>
        <v>21.89</v>
      </c>
      <c r="L38" s="182">
        <f t="shared" si="39"/>
        <v>51.89</v>
      </c>
      <c r="N38" s="182">
        <f t="shared" ref="N38" si="40">N37-G38</f>
        <v>14.75</v>
      </c>
      <c r="O38" s="182">
        <f t="shared" si="15"/>
        <v>100.59999999999992</v>
      </c>
      <c r="R38" s="182">
        <f t="shared" ref="R38:R40" si="41">R37-G38</f>
        <v>57.61</v>
      </c>
      <c r="U38" s="184">
        <f t="shared" si="31"/>
        <v>3.3099999999999601</v>
      </c>
      <c r="V38" s="201">
        <f>IF(H37="AFIII",VLOOKUP(D38,Sheet1!$A$4:$H$18,5,FALSE),IF(H37="UBIII",VLOOKUP(D38,Sheet1!$A$4:$H$18,8,FALSE),IF(H37="",VLOOKUP(D38,Sheet1!$A$4:$H$18,2,FALSE),"0")))</f>
        <v>2120</v>
      </c>
      <c r="W38" s="201">
        <f t="shared" si="32"/>
        <v>0</v>
      </c>
      <c r="X38" s="208">
        <f t="shared" si="20"/>
        <v>5261</v>
      </c>
      <c r="Y38" s="171" t="str">
        <f t="shared" si="33"/>
        <v>SUCCESS</v>
      </c>
      <c r="Z38" s="171" t="str">
        <f t="shared" si="34"/>
        <v>SUCCESS</v>
      </c>
      <c r="AA38" s="185">
        <f t="shared" si="35"/>
        <v>155.72730418733417</v>
      </c>
    </row>
    <row r="39" spans="1:27">
      <c r="A39" s="112">
        <f>ROUNDDOWN(IF(N38-G39&gt;0,(IF(H38="AFIII",VLOOKUP(D39,Sheet1!$K$4:$S$19,5,FALSE),IF(H38="UBIII",VLOOKUP(D39,Sheet1!$K$4:$S$19,8,FALSE),VLOOKUP(D39,Sheet1!$K$4:$S$19,2,FALSE)))*1.2),IF(H38="AFIII",VLOOKUP(D39,Sheet1!$K$4:$S$19,5,FALSE),IF(H38="UBIII",VLOOKUP(D39,Sheet1!$K$4:$S$19,8,FALSE),VLOOKUP(D39,Sheet1!$K$4:$S$19,2,FALSE)))),0)</f>
        <v>604</v>
      </c>
      <c r="B39" s="113">
        <f t="shared" si="30"/>
        <v>14104</v>
      </c>
      <c r="C39" s="118">
        <f t="shared" si="21"/>
        <v>89.55</v>
      </c>
      <c r="D39" s="181" t="s">
        <v>6</v>
      </c>
      <c r="E39" s="182">
        <f>IF(H38="AFIII",VLOOKUP($D39,Sheet1!$A$34:$K$48,5,FALSE),IF(H38="UBIII",VLOOKUP($D39,Sheet1!$A$34:$K$48,8,FALSE),VLOOKUP($D39,Sheet1!$A$34:$K$48,2,FALSE)))</f>
        <v>2.86</v>
      </c>
      <c r="F39" s="182">
        <f>ROUNDDOWN((IF(H38="AFIII",VLOOKUP($D39,Sheet1!$A$34:$K$48,5,FALSE),IF(H38="UBIII",VLOOKUP($D39,Sheet1!$A$34:$K$48,8,FALSE),VLOOKUP($D39,Sheet1!$A$34:$K$48,2,FALSE))))*0.85,2)</f>
        <v>2.4300000000000002</v>
      </c>
      <c r="G39" s="182">
        <f t="shared" si="36"/>
        <v>2.86</v>
      </c>
      <c r="H39" s="183" t="s">
        <v>84</v>
      </c>
      <c r="I39" s="182">
        <f>I38-G39</f>
        <v>7.1400000000000006</v>
      </c>
      <c r="K39" s="182">
        <f>K38-G39</f>
        <v>19.03</v>
      </c>
      <c r="L39" s="182">
        <f>L38-G39</f>
        <v>49.03</v>
      </c>
      <c r="N39" s="182">
        <f>N38-G39</f>
        <v>11.89</v>
      </c>
      <c r="O39" s="182">
        <f t="shared" si="15"/>
        <v>97.739999999999924</v>
      </c>
      <c r="R39" s="182">
        <f t="shared" si="41"/>
        <v>54.75</v>
      </c>
      <c r="U39" s="184">
        <f t="shared" si="31"/>
        <v>0.44999999999996021</v>
      </c>
      <c r="V39" s="201">
        <f>IF(H38="AFIII",VLOOKUP(D39,Sheet1!$A$4:$H$18,5,FALSE),IF(H38="UBIII",VLOOKUP(D39,Sheet1!$A$4:$H$18,8,FALSE),IF(H38="",VLOOKUP(D39,Sheet1!$A$4:$H$18,2,FALSE),"0")))</f>
        <v>1768</v>
      </c>
      <c r="W39" s="201">
        <f t="shared" si="32"/>
        <v>0</v>
      </c>
      <c r="X39" s="208">
        <f t="shared" si="20"/>
        <v>3493</v>
      </c>
      <c r="Y39" s="171" t="str">
        <f t="shared" si="33"/>
        <v>SUCCESS</v>
      </c>
      <c r="Z39" s="171" t="str">
        <f t="shared" si="34"/>
        <v>SUCCESS</v>
      </c>
      <c r="AA39" s="185">
        <f t="shared" si="35"/>
        <v>157.49860413176998</v>
      </c>
    </row>
    <row r="40" spans="1:27">
      <c r="A40" s="112">
        <f>ROUNDDOWN(IF(N39-G40&gt;0,(IF(H39="AFIII",VLOOKUP(D40,Sheet1!$K$4:$S$19,5,FALSE),IF(H39="UBIII",VLOOKUP(D40,Sheet1!$K$4:$S$19,8,FALSE),VLOOKUP(D40,Sheet1!$K$4:$S$19,2,FALSE)))*1.2),IF(H39="AFIII",VLOOKUP(D40,Sheet1!$K$4:$S$19,5,FALSE),IF(H39="UBIII",VLOOKUP(D40,Sheet1!$K$4:$S$19,8,FALSE),VLOOKUP(D40,Sheet1!$K$4:$S$19,2,FALSE)))),0)</f>
        <v>604</v>
      </c>
      <c r="B40" s="113">
        <f t="shared" si="30"/>
        <v>14708</v>
      </c>
      <c r="C40" s="118">
        <f t="shared" si="21"/>
        <v>92.41</v>
      </c>
      <c r="D40" s="181" t="s">
        <v>6</v>
      </c>
      <c r="E40" s="182">
        <f>IF(H39="AFIII",VLOOKUP($D40,Sheet1!$A$34:$K$48,5,FALSE),IF(H39="UBIII",VLOOKUP($D40,Sheet1!$A$34:$K$48,8,FALSE),VLOOKUP($D40,Sheet1!$A$34:$K$48,2,FALSE)))</f>
        <v>2.86</v>
      </c>
      <c r="F40" s="182">
        <f>ROUNDDOWN((IF(H39="AFIII",VLOOKUP($D40,Sheet1!$A$34:$K$48,5,FALSE),IF(H39="UBIII",VLOOKUP($D40,Sheet1!$A$34:$K$48,8,FALSE),VLOOKUP($D40,Sheet1!$A$34:$K$48,2,FALSE))))*0.85,2)</f>
        <v>2.4300000000000002</v>
      </c>
      <c r="G40" s="182">
        <f t="shared" si="36"/>
        <v>2.86</v>
      </c>
      <c r="H40" s="183" t="s">
        <v>84</v>
      </c>
      <c r="I40" s="182">
        <f>I39-G40</f>
        <v>4.2800000000000011</v>
      </c>
      <c r="K40" s="182">
        <f t="shared" ref="K40:K45" si="42">K39-G40</f>
        <v>16.170000000000002</v>
      </c>
      <c r="L40" s="182">
        <f t="shared" ref="L40:L63" si="43">L39-G40</f>
        <v>46.17</v>
      </c>
      <c r="N40" s="182">
        <f t="shared" ref="N40:N45" si="44">N39-G40</f>
        <v>9.0300000000000011</v>
      </c>
      <c r="O40" s="182">
        <f t="shared" si="15"/>
        <v>94.879999999999924</v>
      </c>
      <c r="R40" s="182">
        <f t="shared" si="41"/>
        <v>51.89</v>
      </c>
      <c r="U40" s="184">
        <f t="shared" si="31"/>
        <v>-2.4100000000000397</v>
      </c>
      <c r="V40" s="201">
        <f>IF(H39="AFIII",VLOOKUP(D40,Sheet1!$A$4:$H$18,5,FALSE),IF(H39="UBIII",VLOOKUP(D40,Sheet1!$A$4:$H$18,8,FALSE),IF(H39="",VLOOKUP(D40,Sheet1!$A$4:$H$18,2,FALSE),"0")))</f>
        <v>1768</v>
      </c>
      <c r="W40" s="201">
        <f t="shared" si="32"/>
        <v>0</v>
      </c>
      <c r="X40" s="208">
        <f t="shared" si="20"/>
        <v>1725</v>
      </c>
      <c r="Y40" s="171" t="str">
        <f t="shared" si="33"/>
        <v>SUCCESS</v>
      </c>
      <c r="Z40" s="171" t="str">
        <f t="shared" si="34"/>
        <v>SUCCESS</v>
      </c>
      <c r="AA40" s="185">
        <f t="shared" si="35"/>
        <v>159.16026404068825</v>
      </c>
    </row>
    <row r="41" spans="1:27">
      <c r="A41" s="112">
        <f>ROUNDDOWN(IF(N40-G41&gt;0,(IF(H40="AFIII",VLOOKUP(D41,Sheet1!$K$4:$S$19,5,FALSE),IF(H40="UBIII",VLOOKUP(D41,Sheet1!$K$4:$S$19,8,FALSE),VLOOKUP(D41,Sheet1!$K$4:$S$19,2,FALSE)))*1.2),IF(H40="AFIII",VLOOKUP(D41,Sheet1!$K$4:$S$19,5,FALSE),IF(H40="UBIII",VLOOKUP(D41,Sheet1!$K$4:$S$19,8,FALSE),VLOOKUP(D41,Sheet1!$K$4:$S$19,2,FALSE)))),0)</f>
        <v>518</v>
      </c>
      <c r="B41" s="113">
        <f t="shared" si="30"/>
        <v>15226</v>
      </c>
      <c r="C41" s="118">
        <f>C40+G41</f>
        <v>94.8</v>
      </c>
      <c r="D41" s="181" t="s">
        <v>129</v>
      </c>
      <c r="E41" s="182">
        <f>IF(H40="AFIII",VLOOKUP($D41,Sheet1!$A$34:$K$48,5,FALSE),IF(H40="UBIII",VLOOKUP($D41,Sheet1!$A$34:$K$48,8,FALSE),VLOOKUP($D41,Sheet1!$A$34:$K$48,2,FALSE)))</f>
        <v>2.39</v>
      </c>
      <c r="F41" s="182">
        <f>ROUNDDOWN((IF(H40="AFIII",VLOOKUP($D41,Sheet1!$A$34:$K$48,5,FALSE),IF(H40="UBIII",VLOOKUP($D41,Sheet1!$A$34:$K$48,8,FALSE),VLOOKUP($D41,Sheet1!$A$34:$K$48,2,FALSE))))*0.85,2)</f>
        <v>2.0299999999999998</v>
      </c>
      <c r="G41" s="182">
        <f t="shared" si="36"/>
        <v>2.39</v>
      </c>
      <c r="H41" s="183" t="s">
        <v>84</v>
      </c>
      <c r="I41" s="182">
        <v>10</v>
      </c>
      <c r="K41" s="182">
        <f t="shared" si="42"/>
        <v>13.780000000000001</v>
      </c>
      <c r="L41" s="182">
        <f t="shared" si="43"/>
        <v>43.78</v>
      </c>
      <c r="N41" s="182">
        <f t="shared" si="44"/>
        <v>6.6400000000000006</v>
      </c>
      <c r="O41" s="182">
        <f t="shared" si="15"/>
        <v>92.489999999999924</v>
      </c>
      <c r="R41" s="182">
        <f>R40-G41</f>
        <v>49.5</v>
      </c>
      <c r="S41" s="183" t="s">
        <v>87</v>
      </c>
      <c r="T41" s="182">
        <v>30</v>
      </c>
      <c r="U41" s="184">
        <v>90</v>
      </c>
      <c r="V41" s="201">
        <f>IF(H40="AFIII",VLOOKUP(D41,Sheet1!$A$4:$H$18,5,FALSE),IF(H40="UBIII",VLOOKUP(D41,Sheet1!$A$4:$H$18,8,FALSE),IF(H40="",VLOOKUP(D41,Sheet1!$A$4:$H$18,2,FALSE),"0")))</f>
        <v>0</v>
      </c>
      <c r="W41" s="201">
        <f t="shared" si="32"/>
        <v>0</v>
      </c>
      <c r="X41" s="208">
        <f>IF(M41="コンバート",(IF(D41="フレア",0,IF(X40-V41+W41&gt;$X$3,$X$3-V41,X40-V41+W41)))+$X$1,IF(D41="フレア",0,IF(X40-V41+W41&gt;$X$3,$X$3-V41,X40-V41+W41)))</f>
        <v>1725</v>
      </c>
      <c r="Y41" s="171" t="str">
        <f t="shared" si="33"/>
        <v>SUCCESS</v>
      </c>
      <c r="Z41" s="171" t="str">
        <f t="shared" si="34"/>
        <v>SUCCESS</v>
      </c>
      <c r="AA41" s="185">
        <f t="shared" si="35"/>
        <v>160.61181434599158</v>
      </c>
    </row>
    <row r="42" spans="1:27">
      <c r="A42" s="112">
        <f>ROUNDDOWN(IF(N41-G42&gt;0,(IF(H41="AFIII",VLOOKUP(D42,Sheet1!$K$4:$S$19,5,FALSE),IF(H41="UBIII",VLOOKUP(D42,Sheet1!$K$4:$S$19,8,FALSE),VLOOKUP(D42,Sheet1!$K$4:$S$19,2,FALSE)))*1.2),IF(H41="AFIII",VLOOKUP(D42,Sheet1!$K$4:$S$19,5,FALSE),IF(H41="UBIII",VLOOKUP(D42,Sheet1!$K$4:$S$19,8,FALSE),VLOOKUP(D42,Sheet1!$K$4:$S$19,2,FALSE)))),0)</f>
        <v>201</v>
      </c>
      <c r="B42" s="113">
        <f t="shared" ref="B42:B68" si="45">B41+A42</f>
        <v>15427</v>
      </c>
      <c r="C42" s="118">
        <f t="shared" ref="C42:C67" si="46">C41+G42</f>
        <v>96.83</v>
      </c>
      <c r="D42" s="181" t="s">
        <v>12</v>
      </c>
      <c r="E42" s="182">
        <f>IF(H41="AFIII",VLOOKUP($D42,Sheet1!$A$34:$K$48,5,FALSE),IF(H41="UBIII",VLOOKUP($D42,Sheet1!$A$34:$K$48,8,FALSE),VLOOKUP($D42,Sheet1!$A$34:$K$48,2,FALSE)))</f>
        <v>1.67</v>
      </c>
      <c r="F42" s="182">
        <f>ROUNDDOWN((IF(H41="AFIII",VLOOKUP($D42,Sheet1!$A$34:$K$48,5,FALSE),IF(H41="UBIII",VLOOKUP($D42,Sheet1!$A$34:$K$48,8,FALSE),VLOOKUP($D42,Sheet1!$A$34:$K$48,2,FALSE))))*0.85,2)</f>
        <v>1.41</v>
      </c>
      <c r="G42" s="182">
        <f>IF(M41="迅速",IF(S41="黒魔紋",$F$1,$E$1),IF(S41="黒魔紋",IF(F42&lt;$F$1,$F$1,F42),IF(E42&lt;$E$1,$E$1,E42)))</f>
        <v>2.0299999999999998</v>
      </c>
      <c r="H42" s="183" t="s">
        <v>122</v>
      </c>
      <c r="I42" s="182">
        <v>10</v>
      </c>
      <c r="K42" s="182">
        <f t="shared" ref="K42:K43" si="47">K41-G42</f>
        <v>11.750000000000002</v>
      </c>
      <c r="L42" s="182">
        <f t="shared" ref="L42:L67" si="48">L41-G42</f>
        <v>41.75</v>
      </c>
      <c r="N42" s="182">
        <f t="shared" ref="N42:N43" si="49">N41-G42</f>
        <v>4.6100000000000012</v>
      </c>
      <c r="O42" s="182">
        <f t="shared" ref="O42:O68" si="50">O41-G42</f>
        <v>90.459999999999923</v>
      </c>
      <c r="R42" s="182">
        <f t="shared" ref="R42:R56" si="51">R41-G42</f>
        <v>47.47</v>
      </c>
      <c r="S42" s="183" t="s">
        <v>87</v>
      </c>
      <c r="T42" s="182">
        <f t="shared" ref="T41:T45" si="52">T41-G42</f>
        <v>27.97</v>
      </c>
      <c r="U42" s="184">
        <f t="shared" si="31"/>
        <v>87.97</v>
      </c>
      <c r="V42" s="201">
        <f>IF(H41="AFIII",VLOOKUP(D42,Sheet1!$A$4:$H$18,5,FALSE),IF(H41="UBIII",VLOOKUP(D42,Sheet1!$A$4:$H$18,8,FALSE),IF(H41="",VLOOKUP(D42,Sheet1!$A$4:$H$18,2,FALSE),"0")))</f>
        <v>265</v>
      </c>
      <c r="W42" s="201">
        <f t="shared" ref="W42:W68" si="53">IF(H41="UBIII",$X$2,0)</f>
        <v>0</v>
      </c>
      <c r="X42" s="208">
        <f t="shared" ref="X42:X67" si="54">IF(M42="コンバート",(IF(D42="フレア",0,IF(X41-V42+W42&gt;$X$3,$X$3-V42,X41-V42+W42)))+$X$1,IF(D42="フレア",0,IF(X41-V42+W42&gt;$X$3,$X$3-V42,X41-V42+W42)))</f>
        <v>1460</v>
      </c>
      <c r="Y42" s="171" t="str">
        <f t="shared" ref="Y42:Y68" si="55">IF(X41-V42&lt;0,"ERROR","SUCCESS")</f>
        <v>SUCCESS</v>
      </c>
      <c r="Z42" s="171" t="str">
        <f t="shared" ref="Z42:Z68" si="56">IF(K41-G42&lt;0,"ERROR","SUCCESS")</f>
        <v>SUCCESS</v>
      </c>
      <c r="AA42" s="185">
        <f t="shared" si="35"/>
        <v>159.32045853557781</v>
      </c>
    </row>
    <row r="43" spans="1:27">
      <c r="A43" s="112">
        <f>ROUNDDOWN(IF(N42-G43&gt;0,(IF(H42="AFIII",VLOOKUP(D43,Sheet1!$K$4:$S$19,5,FALSE),IF(H42="UBIII",VLOOKUP(D43,Sheet1!$K$4:$S$19,8,FALSE),VLOOKUP(D43,Sheet1!$K$4:$S$19,2,FALSE)))*1.2),IF(H42="AFIII",VLOOKUP(D43,Sheet1!$K$4:$S$19,5,FALSE),IF(H42="UBIII",VLOOKUP(D43,Sheet1!$K$4:$S$19,8,FALSE),VLOOKUP(D43,Sheet1!$K$4:$S$19,2,FALSE)))),0)</f>
        <v>354</v>
      </c>
      <c r="B43" s="113">
        <f t="shared" si="45"/>
        <v>15781</v>
      </c>
      <c r="C43" s="118">
        <f t="shared" si="46"/>
        <v>99.26</v>
      </c>
      <c r="D43" s="181" t="s">
        <v>19</v>
      </c>
      <c r="E43" s="182">
        <f>IF(H42="AFIII",VLOOKUP($D43,Sheet1!$A$34:$K$48,5,FALSE),IF(H42="UBIII",VLOOKUP($D43,Sheet1!$A$34:$K$48,8,FALSE),VLOOKUP($D43,Sheet1!$A$34:$K$48,2,FALSE)))</f>
        <v>2.86</v>
      </c>
      <c r="F43" s="182">
        <f>ROUNDDOWN((IF(H42="AFIII",VLOOKUP($D43,Sheet1!$A$34:$K$48,5,FALSE),IF(H42="UBIII",VLOOKUP($D43,Sheet1!$A$34:$K$48,8,FALSE),VLOOKUP($D43,Sheet1!$A$34:$K$48,2,FALSE))))*0.85,2)</f>
        <v>2.4300000000000002</v>
      </c>
      <c r="G43" s="182">
        <f>IF(M42="迅速",IF(S42="黒魔紋",$F$1,$E$1),IF(S42="黒魔紋",IF(F43&lt;$F$1,$F$1,F43),IF(E43&lt;$E$1,$E$1,E43)))</f>
        <v>2.4300000000000002</v>
      </c>
      <c r="H43" s="183" t="s">
        <v>122</v>
      </c>
      <c r="I43" s="182">
        <f t="shared" ref="I43:I44" si="57">I42-G43</f>
        <v>7.57</v>
      </c>
      <c r="K43" s="182">
        <f t="shared" si="47"/>
        <v>9.3200000000000021</v>
      </c>
      <c r="L43" s="182">
        <f t="shared" si="48"/>
        <v>39.32</v>
      </c>
      <c r="N43" s="182">
        <f t="shared" si="49"/>
        <v>2.180000000000001</v>
      </c>
      <c r="O43" s="182">
        <f t="shared" si="50"/>
        <v>88.029999999999916</v>
      </c>
      <c r="P43" s="183" t="s">
        <v>17</v>
      </c>
      <c r="Q43" s="182">
        <v>21</v>
      </c>
      <c r="R43" s="182">
        <f t="shared" si="51"/>
        <v>45.04</v>
      </c>
      <c r="S43" s="183" t="s">
        <v>87</v>
      </c>
      <c r="T43" s="182">
        <f t="shared" si="52"/>
        <v>25.54</v>
      </c>
      <c r="U43" s="184">
        <f t="shared" si="31"/>
        <v>85.539999999999992</v>
      </c>
      <c r="V43" s="201">
        <f>IF(H42="AFIII",VLOOKUP(D43,Sheet1!$A$4:$H$18,5,FALSE),IF(H42="UBIII",VLOOKUP(D43,Sheet1!$A$4:$H$18,8,FALSE),IF(H42="",VLOOKUP(D43,Sheet1!$A$4:$H$18,2,FALSE),"0")))</f>
        <v>1060</v>
      </c>
      <c r="W43" s="201">
        <f t="shared" si="53"/>
        <v>7033</v>
      </c>
      <c r="X43" s="208">
        <f t="shared" si="54"/>
        <v>7433</v>
      </c>
      <c r="Y43" s="171" t="str">
        <f t="shared" si="55"/>
        <v>SUCCESS</v>
      </c>
      <c r="Z43" s="171" t="str">
        <f t="shared" si="56"/>
        <v>SUCCESS</v>
      </c>
      <c r="AA43" s="185">
        <f t="shared" si="35"/>
        <v>158.9865001007455</v>
      </c>
    </row>
    <row r="44" spans="1:27">
      <c r="A44" s="119">
        <f>ROUNDDOWN(IF(N43-G44&gt;0,(IF(H43="AFIII",VLOOKUP(D44,Sheet1!$K$4:$S$19,5,FALSE),IF(H43="UBIII",VLOOKUP(D44,Sheet1!$K$4:$S$19,8,FALSE),VLOOKUP(D44,Sheet1!$K$4:$S$19,2,FALSE)))*1.2),IF(H43="AFIII",VLOOKUP(D44,Sheet1!$K$4:$S$19,5,FALSE),IF(H43="UBIII",VLOOKUP(D44,Sheet1!$K$4:$S$19,8,FALSE),VLOOKUP(D44,Sheet1!$K$4:$S$19,2,FALSE)))),0)</f>
        <v>280</v>
      </c>
      <c r="B44" s="120">
        <f t="shared" si="45"/>
        <v>16061</v>
      </c>
      <c r="C44" s="121">
        <f t="shared" si="46"/>
        <v>101.69000000000001</v>
      </c>
      <c r="D44" s="191" t="s">
        <v>14</v>
      </c>
      <c r="E44" s="192">
        <f>IF(H43="AFIII",VLOOKUP($D44,Sheet1!$A$34:$K$48,5,FALSE),IF(H43="UBIII",VLOOKUP($D44,Sheet1!$A$34:$K$48,8,FALSE),VLOOKUP($D44,Sheet1!$A$34:$K$48,2,FALSE)))</f>
        <v>2.86</v>
      </c>
      <c r="F44" s="192">
        <f>ROUNDDOWN((IF(H43="AFIII",VLOOKUP($D44,Sheet1!$A$34:$K$48,5,FALSE),IF(H43="UBIII",VLOOKUP($D44,Sheet1!$A$34:$K$48,8,FALSE),VLOOKUP($D44,Sheet1!$A$34:$K$48,2,FALSE))))*0.85,2)</f>
        <v>2.4300000000000002</v>
      </c>
      <c r="G44" s="192">
        <f t="shared" ref="G44:G67" si="58">IF(M43="迅速",IF(S43="黒魔紋",$F$1,$E$1),IF(S43="黒魔紋",IF(F44&lt;$F$1,$F$1,F44),IF(E44&lt;$E$1,$E$1,E44)))</f>
        <v>2.4300000000000002</v>
      </c>
      <c r="H44" s="193" t="s">
        <v>122</v>
      </c>
      <c r="I44" s="192">
        <f t="shared" si="57"/>
        <v>5.1400000000000006</v>
      </c>
      <c r="J44" s="193"/>
      <c r="K44" s="192">
        <v>25</v>
      </c>
      <c r="L44" s="192">
        <f t="shared" si="48"/>
        <v>36.89</v>
      </c>
      <c r="M44" s="193"/>
      <c r="N44" s="192"/>
      <c r="O44" s="192">
        <f t="shared" si="50"/>
        <v>85.599999999999909</v>
      </c>
      <c r="P44" s="193"/>
      <c r="Q44" s="192">
        <f>Q43-G44</f>
        <v>18.57</v>
      </c>
      <c r="R44" s="192">
        <f t="shared" si="51"/>
        <v>42.61</v>
      </c>
      <c r="S44" s="193" t="s">
        <v>87</v>
      </c>
      <c r="T44" s="192">
        <f t="shared" si="52"/>
        <v>23.11</v>
      </c>
      <c r="U44" s="194">
        <f t="shared" si="31"/>
        <v>83.109999999999985</v>
      </c>
      <c r="V44" s="211">
        <f>IF(H43="AFIII",VLOOKUP(D44,Sheet1!$A$4:$H$18,5,FALSE),IF(H43="UBIII",VLOOKUP(D44,Sheet1!$A$4:$H$18,8,FALSE),IF(H43="",VLOOKUP(D44,Sheet1!$A$4:$H$18,2,FALSE),"0")))</f>
        <v>884</v>
      </c>
      <c r="W44" s="211">
        <f t="shared" si="53"/>
        <v>7033</v>
      </c>
      <c r="X44" s="212">
        <f t="shared" si="54"/>
        <v>10475</v>
      </c>
      <c r="Y44" s="195" t="str">
        <f t="shared" si="55"/>
        <v>SUCCESS</v>
      </c>
      <c r="Z44" s="195" t="str">
        <f t="shared" si="56"/>
        <v>SUCCESS</v>
      </c>
      <c r="AA44" s="185">
        <f t="shared" si="35"/>
        <v>157.9408004720228</v>
      </c>
    </row>
    <row r="45" spans="1:27">
      <c r="A45" s="112">
        <f>ROUNDDOWN(IF(N44-G45&gt;0,(IF(H44="AFIII",VLOOKUP(D45,Sheet1!$K$4:$S$19,5,FALSE),IF(H44="UBIII",VLOOKUP(D45,Sheet1!$K$4:$S$19,8,FALSE),VLOOKUP(D45,Sheet1!$K$4:$S$19,2,FALSE)))*1.2),IF(H44="AFIII",VLOOKUP(D45,Sheet1!$K$4:$S$19,5,FALSE),IF(H44="UBIII",VLOOKUP(D45,Sheet1!$K$4:$S$19,8,FALSE),VLOOKUP(D45,Sheet1!$K$4:$S$19,2,FALSE)))),0)</f>
        <v>168</v>
      </c>
      <c r="B45" s="113">
        <f t="shared" si="45"/>
        <v>16229</v>
      </c>
      <c r="C45" s="118">
        <f t="shared" si="46"/>
        <v>103.72000000000001</v>
      </c>
      <c r="D45" s="181" t="s">
        <v>4</v>
      </c>
      <c r="E45" s="182">
        <f>IF(H44="AFIII",VLOOKUP($D45,Sheet1!$A$34:$K$48,5,FALSE),IF(H44="UBIII",VLOOKUP($D45,Sheet1!$A$34:$K$48,8,FALSE),VLOOKUP($D45,Sheet1!$A$34:$K$48,2,FALSE)))</f>
        <v>1.67</v>
      </c>
      <c r="F45" s="182">
        <f>ROUNDDOWN((IF(H44="AFIII",VLOOKUP($D45,Sheet1!$A$34:$K$48,5,FALSE),IF(H44="UBIII",VLOOKUP($D45,Sheet1!$A$34:$K$48,8,FALSE),VLOOKUP($D45,Sheet1!$A$34:$K$48,2,FALSE))))*0.85,2)</f>
        <v>1.41</v>
      </c>
      <c r="G45" s="182">
        <f t="shared" si="58"/>
        <v>2.0299999999999998</v>
      </c>
      <c r="H45" s="183" t="s">
        <v>84</v>
      </c>
      <c r="I45" s="182">
        <v>10</v>
      </c>
      <c r="K45" s="182">
        <f>K44-G45</f>
        <v>22.97</v>
      </c>
      <c r="L45" s="182">
        <f t="shared" si="48"/>
        <v>34.86</v>
      </c>
      <c r="O45" s="182">
        <f t="shared" si="50"/>
        <v>83.569999999999908</v>
      </c>
      <c r="Q45" s="182">
        <f t="shared" ref="Q45:Q51" si="59">Q44-G45</f>
        <v>16.54</v>
      </c>
      <c r="R45" s="182">
        <f t="shared" si="51"/>
        <v>40.58</v>
      </c>
      <c r="S45" s="183" t="s">
        <v>87</v>
      </c>
      <c r="T45" s="182">
        <f t="shared" si="52"/>
        <v>21.08</v>
      </c>
      <c r="U45" s="184">
        <f t="shared" si="31"/>
        <v>81.079999999999984</v>
      </c>
      <c r="V45" s="201">
        <f>IF(H44="AFIII",VLOOKUP(D45,Sheet1!$A$4:$H$18,5,FALSE),IF(H44="UBIII",VLOOKUP(D45,Sheet1!$A$4:$H$18,8,FALSE),IF(H44="",VLOOKUP(D45,Sheet1!$A$4:$H$18,2,FALSE),"0")))</f>
        <v>442</v>
      </c>
      <c r="W45" s="201">
        <f t="shared" si="53"/>
        <v>7033</v>
      </c>
      <c r="X45" s="208">
        <f t="shared" si="54"/>
        <v>10917</v>
      </c>
      <c r="Y45" s="171" t="str">
        <f t="shared" si="55"/>
        <v>SUCCESS</v>
      </c>
      <c r="Z45" s="171" t="str">
        <f t="shared" si="56"/>
        <v>SUCCESS</v>
      </c>
      <c r="AA45" s="185">
        <f t="shared" si="35"/>
        <v>156.46934053220207</v>
      </c>
    </row>
    <row r="46" spans="1:27">
      <c r="A46" s="112">
        <f>ROUNDDOWN(IF(N45-G46&gt;0,(IF(H45="AFIII",VLOOKUP(D46,Sheet1!$K$4:$S$19,5,FALSE),IF(H45="UBIII",VLOOKUP(D46,Sheet1!$K$4:$S$19,8,FALSE),VLOOKUP(D46,Sheet1!$K$4:$S$19,2,FALSE)))*1.2),IF(H45="AFIII",VLOOKUP(D46,Sheet1!$K$4:$S$19,5,FALSE),IF(H45="UBIII",VLOOKUP(D46,Sheet1!$K$4:$S$19,8,FALSE),VLOOKUP(D46,Sheet1!$K$4:$S$19,2,FALSE)))),0)</f>
        <v>504</v>
      </c>
      <c r="B46" s="113">
        <f t="shared" si="45"/>
        <v>16733</v>
      </c>
      <c r="C46" s="118">
        <f t="shared" si="46"/>
        <v>106.15000000000002</v>
      </c>
      <c r="D46" s="181" t="s">
        <v>6</v>
      </c>
      <c r="E46" s="182">
        <f>IF(H45="AFIII",VLOOKUP($D46,Sheet1!$A$34:$K$48,5,FALSE),IF(H45="UBIII",VLOOKUP($D46,Sheet1!$A$34:$K$48,8,FALSE),VLOOKUP($D46,Sheet1!$A$34:$K$48,2,FALSE)))</f>
        <v>2.86</v>
      </c>
      <c r="F46" s="182">
        <f>ROUNDDOWN((IF(H45="AFIII",VLOOKUP($D46,Sheet1!$A$34:$K$48,5,FALSE),IF(H45="UBIII",VLOOKUP($D46,Sheet1!$A$34:$K$48,8,FALSE),VLOOKUP($D46,Sheet1!$A$34:$K$48,2,FALSE))))*0.85,2)</f>
        <v>2.4300000000000002</v>
      </c>
      <c r="G46" s="182">
        <f t="shared" si="58"/>
        <v>2.4300000000000002</v>
      </c>
      <c r="H46" s="183" t="s">
        <v>84</v>
      </c>
      <c r="I46" s="182">
        <f>I45-G46</f>
        <v>7.57</v>
      </c>
      <c r="K46" s="182">
        <f t="shared" ref="K46:K52" si="60">K45-G46</f>
        <v>20.54</v>
      </c>
      <c r="L46" s="182">
        <f t="shared" si="48"/>
        <v>32.43</v>
      </c>
      <c r="O46" s="182">
        <f t="shared" si="50"/>
        <v>81.139999999999901</v>
      </c>
      <c r="Q46" s="182">
        <f t="shared" si="59"/>
        <v>14.11</v>
      </c>
      <c r="R46" s="182">
        <f t="shared" si="51"/>
        <v>38.15</v>
      </c>
      <c r="S46" s="183" t="s">
        <v>87</v>
      </c>
      <c r="T46" s="182">
        <f>T45-G46</f>
        <v>18.649999999999999</v>
      </c>
      <c r="U46" s="184">
        <f t="shared" ref="U42:U68" si="61">U45-G46</f>
        <v>78.649999999999977</v>
      </c>
      <c r="V46" s="201">
        <f>IF(H45="AFIII",VLOOKUP(D46,Sheet1!$A$4:$H$18,5,FALSE),IF(H45="UBIII",VLOOKUP(D46,Sheet1!$A$4:$H$18,8,FALSE),IF(H45="",VLOOKUP(D46,Sheet1!$A$4:$H$18,2,FALSE),"0")))</f>
        <v>1768</v>
      </c>
      <c r="W46" s="201">
        <f t="shared" si="53"/>
        <v>0</v>
      </c>
      <c r="X46" s="208">
        <f t="shared" si="54"/>
        <v>9149</v>
      </c>
      <c r="Y46" s="171" t="str">
        <f t="shared" si="55"/>
        <v>SUCCESS</v>
      </c>
      <c r="Z46" s="171" t="str">
        <f t="shared" si="56"/>
        <v>SUCCESS</v>
      </c>
      <c r="AA46" s="185">
        <f t="shared" si="35"/>
        <v>157.63542157324537</v>
      </c>
    </row>
    <row r="47" spans="1:27">
      <c r="A47" s="112">
        <f>ROUNDDOWN(IF(N46-G47&gt;0,(IF(H46="AFIII",VLOOKUP(D47,Sheet1!$K$4:$S$19,5,FALSE),IF(H46="UBIII",VLOOKUP(D47,Sheet1!$K$4:$S$19,8,FALSE),VLOOKUP(D47,Sheet1!$K$4:$S$19,2,FALSE)))*1.2),IF(H46="AFIII",VLOOKUP(D47,Sheet1!$K$4:$S$19,5,FALSE),IF(H46="UBIII",VLOOKUP(D47,Sheet1!$K$4:$S$19,8,FALSE),VLOOKUP(D47,Sheet1!$K$4:$S$19,2,FALSE)))),0)</f>
        <v>504</v>
      </c>
      <c r="B47" s="113">
        <f t="shared" si="45"/>
        <v>17237</v>
      </c>
      <c r="C47" s="118">
        <f t="shared" si="46"/>
        <v>108.58000000000003</v>
      </c>
      <c r="D47" s="181" t="s">
        <v>6</v>
      </c>
      <c r="E47" s="182">
        <f>IF(H46="AFIII",VLOOKUP($D47,Sheet1!$A$34:$K$48,5,FALSE),IF(H46="UBIII",VLOOKUP($D47,Sheet1!$A$34:$K$48,8,FALSE),VLOOKUP($D47,Sheet1!$A$34:$K$48,2,FALSE)))</f>
        <v>2.86</v>
      </c>
      <c r="F47" s="182">
        <f>ROUNDDOWN((IF(H46="AFIII",VLOOKUP($D47,Sheet1!$A$34:$K$48,5,FALSE),IF(H46="UBIII",VLOOKUP($D47,Sheet1!$A$34:$K$48,8,FALSE),VLOOKUP($D47,Sheet1!$A$34:$K$48,2,FALSE))))*0.85,2)</f>
        <v>2.4300000000000002</v>
      </c>
      <c r="G47" s="182">
        <f t="shared" si="58"/>
        <v>2.4300000000000002</v>
      </c>
      <c r="H47" s="183" t="s">
        <v>84</v>
      </c>
      <c r="I47" s="182">
        <f>I46-G47</f>
        <v>5.1400000000000006</v>
      </c>
      <c r="K47" s="182">
        <f t="shared" si="60"/>
        <v>18.11</v>
      </c>
      <c r="L47" s="182">
        <f t="shared" si="48"/>
        <v>30</v>
      </c>
      <c r="O47" s="182">
        <f t="shared" si="50"/>
        <v>78.709999999999894</v>
      </c>
      <c r="Q47" s="182">
        <f t="shared" si="59"/>
        <v>11.68</v>
      </c>
      <c r="R47" s="182">
        <f t="shared" si="51"/>
        <v>35.72</v>
      </c>
      <c r="S47" s="183" t="s">
        <v>87</v>
      </c>
      <c r="T47" s="182">
        <f t="shared" ref="T47:T61" si="62">T46-G47</f>
        <v>16.22</v>
      </c>
      <c r="U47" s="184">
        <f t="shared" si="61"/>
        <v>76.21999999999997</v>
      </c>
      <c r="V47" s="201">
        <f>IF(H46="AFIII",VLOOKUP(D47,Sheet1!$A$4:$H$18,5,FALSE),IF(H46="UBIII",VLOOKUP(D47,Sheet1!$A$4:$H$18,8,FALSE),IF(H46="",VLOOKUP(D47,Sheet1!$A$4:$H$18,2,FALSE),"0")))</f>
        <v>1768</v>
      </c>
      <c r="W47" s="201">
        <f t="shared" si="53"/>
        <v>0</v>
      </c>
      <c r="X47" s="208">
        <f t="shared" si="54"/>
        <v>7381</v>
      </c>
      <c r="Y47" s="171" t="str">
        <f t="shared" si="55"/>
        <v>SUCCESS</v>
      </c>
      <c r="Z47" s="171" t="str">
        <f t="shared" si="56"/>
        <v>SUCCESS</v>
      </c>
      <c r="AA47" s="185">
        <f t="shared" si="35"/>
        <v>158.74930926505797</v>
      </c>
    </row>
    <row r="48" spans="1:27">
      <c r="A48" s="112">
        <f>ROUNDDOWN(IF(N47-G48&gt;0,(IF(H47="AFIII",VLOOKUP(D48,Sheet1!$K$4:$S$19,5,FALSE),IF(H47="UBIII",VLOOKUP(D48,Sheet1!$K$4:$S$19,8,FALSE),VLOOKUP(D48,Sheet1!$K$4:$S$19,2,FALSE)))*1.2),IF(H47="AFIII",VLOOKUP(D48,Sheet1!$K$4:$S$19,5,FALSE),IF(H47="UBIII",VLOOKUP(D48,Sheet1!$K$4:$S$19,8,FALSE),VLOOKUP(D48,Sheet1!$K$4:$S$19,2,FALSE)))),0)</f>
        <v>324</v>
      </c>
      <c r="B48" s="113">
        <f t="shared" si="45"/>
        <v>17561</v>
      </c>
      <c r="C48" s="118">
        <f t="shared" si="46"/>
        <v>110.61000000000003</v>
      </c>
      <c r="D48" s="181" t="s">
        <v>1</v>
      </c>
      <c r="E48" s="182">
        <f>IF(H47="AFIII",VLOOKUP($D48,Sheet1!$A$34:$K$48,5,FALSE),IF(H47="UBIII",VLOOKUP($D48,Sheet1!$A$34:$K$48,8,FALSE),VLOOKUP($D48,Sheet1!$A$34:$K$48,2,FALSE)))</f>
        <v>2.39</v>
      </c>
      <c r="F48" s="182">
        <f>ROUNDDOWN((IF(H47="AFIII",VLOOKUP($D48,Sheet1!$A$34:$K$48,5,FALSE),IF(H47="UBIII",VLOOKUP($D48,Sheet1!$A$34:$K$48,8,FALSE),VLOOKUP($D48,Sheet1!$A$34:$K$48,2,FALSE))))*0.85,2)</f>
        <v>2.0299999999999998</v>
      </c>
      <c r="G48" s="182">
        <f t="shared" si="58"/>
        <v>2.0299999999999998</v>
      </c>
      <c r="H48" s="183" t="s">
        <v>84</v>
      </c>
      <c r="I48" s="182">
        <v>10</v>
      </c>
      <c r="K48" s="182">
        <f t="shared" si="60"/>
        <v>16.079999999999998</v>
      </c>
      <c r="L48" s="182">
        <f t="shared" si="48"/>
        <v>27.97</v>
      </c>
      <c r="O48" s="182">
        <f t="shared" si="50"/>
        <v>76.679999999999893</v>
      </c>
      <c r="Q48" s="182">
        <f t="shared" si="59"/>
        <v>9.65</v>
      </c>
      <c r="R48" s="182">
        <f t="shared" si="51"/>
        <v>33.69</v>
      </c>
      <c r="S48" s="183" t="s">
        <v>87</v>
      </c>
      <c r="T48" s="182">
        <f t="shared" si="62"/>
        <v>14.19</v>
      </c>
      <c r="U48" s="184">
        <f t="shared" si="61"/>
        <v>74.189999999999969</v>
      </c>
      <c r="V48" s="201">
        <f>IF(H47="AFIII",VLOOKUP(D48,Sheet1!$A$4:$H$18,5,FALSE),IF(H47="UBIII",VLOOKUP(D48,Sheet1!$A$4:$H$18,8,FALSE),IF(H47="",VLOOKUP(D48,Sheet1!$A$4:$H$18,2,FALSE),"0")))</f>
        <v>2120</v>
      </c>
      <c r="W48" s="201">
        <f t="shared" si="53"/>
        <v>0</v>
      </c>
      <c r="X48" s="208">
        <f t="shared" si="54"/>
        <v>5261</v>
      </c>
      <c r="Y48" s="171" t="str">
        <f t="shared" si="55"/>
        <v>SUCCESS</v>
      </c>
      <c r="Z48" s="171" t="str">
        <f t="shared" si="56"/>
        <v>SUCCESS</v>
      </c>
      <c r="AA48" s="185">
        <f t="shared" si="35"/>
        <v>158.76503028659249</v>
      </c>
    </row>
    <row r="49" spans="1:27">
      <c r="A49" s="112">
        <f>ROUNDDOWN(IF(N48-G49&gt;0,(IF(H48="AFIII",VLOOKUP(D49,Sheet1!$K$4:$S$19,5,FALSE),IF(H48="UBIII",VLOOKUP(D49,Sheet1!$K$4:$S$19,8,FALSE),VLOOKUP(D49,Sheet1!$K$4:$S$19,2,FALSE)))*1.2),IF(H48="AFIII",VLOOKUP(D49,Sheet1!$K$4:$S$19,5,FALSE),IF(H48="UBIII",VLOOKUP(D49,Sheet1!$K$4:$S$19,8,FALSE),VLOOKUP(D49,Sheet1!$K$4:$S$19,2,FALSE)))),0)</f>
        <v>504</v>
      </c>
      <c r="B49" s="113">
        <f t="shared" si="45"/>
        <v>18065</v>
      </c>
      <c r="C49" s="118">
        <f t="shared" si="46"/>
        <v>113.04000000000003</v>
      </c>
      <c r="D49" s="181" t="s">
        <v>6</v>
      </c>
      <c r="E49" s="182">
        <f>IF(H48="AFIII",VLOOKUP($D49,Sheet1!$A$34:$K$48,5,FALSE),IF(H48="UBIII",VLOOKUP($D49,Sheet1!$A$34:$K$48,8,FALSE),VLOOKUP($D49,Sheet1!$A$34:$K$48,2,FALSE)))</f>
        <v>2.86</v>
      </c>
      <c r="F49" s="182">
        <f>ROUNDDOWN((IF(H48="AFIII",VLOOKUP($D49,Sheet1!$A$34:$K$48,5,FALSE),IF(H48="UBIII",VLOOKUP($D49,Sheet1!$A$34:$K$48,8,FALSE),VLOOKUP($D49,Sheet1!$A$34:$K$48,2,FALSE))))*0.85,2)</f>
        <v>2.4300000000000002</v>
      </c>
      <c r="G49" s="182">
        <f t="shared" si="58"/>
        <v>2.4300000000000002</v>
      </c>
      <c r="H49" s="183" t="s">
        <v>84</v>
      </c>
      <c r="I49" s="182">
        <f>I48-G49</f>
        <v>7.57</v>
      </c>
      <c r="K49" s="182">
        <f t="shared" si="60"/>
        <v>13.649999999999999</v>
      </c>
      <c r="L49" s="182">
        <f t="shared" si="48"/>
        <v>25.54</v>
      </c>
      <c r="O49" s="182">
        <f t="shared" si="50"/>
        <v>74.249999999999886</v>
      </c>
      <c r="Q49" s="182">
        <f t="shared" si="59"/>
        <v>7.2200000000000006</v>
      </c>
      <c r="R49" s="182">
        <f t="shared" si="51"/>
        <v>31.259999999999998</v>
      </c>
      <c r="S49" s="183" t="s">
        <v>87</v>
      </c>
      <c r="T49" s="182">
        <f t="shared" si="62"/>
        <v>11.76</v>
      </c>
      <c r="U49" s="184">
        <f t="shared" si="61"/>
        <v>71.759999999999962</v>
      </c>
      <c r="V49" s="201">
        <f>IF(H48="AFIII",VLOOKUP(D49,Sheet1!$A$4:$H$18,5,FALSE),IF(H48="UBIII",VLOOKUP(D49,Sheet1!$A$4:$H$18,8,FALSE),IF(H48="",VLOOKUP(D49,Sheet1!$A$4:$H$18,2,FALSE),"0")))</f>
        <v>1768</v>
      </c>
      <c r="W49" s="201">
        <f t="shared" si="53"/>
        <v>0</v>
      </c>
      <c r="X49" s="208">
        <f t="shared" si="54"/>
        <v>3493</v>
      </c>
      <c r="Y49" s="171" t="str">
        <f t="shared" si="55"/>
        <v>SUCCESS</v>
      </c>
      <c r="Z49" s="171" t="str">
        <f t="shared" si="56"/>
        <v>SUCCESS</v>
      </c>
      <c r="AA49" s="185">
        <f t="shared" si="35"/>
        <v>159.81068648266097</v>
      </c>
    </row>
    <row r="50" spans="1:27">
      <c r="A50" s="112">
        <f>ROUNDDOWN(IF(N49-G50&gt;0,(IF(H49="AFIII",VLOOKUP(D50,Sheet1!$K$4:$S$19,5,FALSE),IF(H49="UBIII",VLOOKUP(D50,Sheet1!$K$4:$S$19,8,FALSE),VLOOKUP(D50,Sheet1!$K$4:$S$19,2,FALSE)))*1.2),IF(H49="AFIII",VLOOKUP(D50,Sheet1!$K$4:$S$19,5,FALSE),IF(H49="UBIII",VLOOKUP(D50,Sheet1!$K$4:$S$19,8,FALSE),VLOOKUP(D50,Sheet1!$K$4:$S$19,2,FALSE)))),0)</f>
        <v>504</v>
      </c>
      <c r="B50" s="113">
        <f t="shared" si="45"/>
        <v>18569</v>
      </c>
      <c r="C50" s="118">
        <f t="shared" si="46"/>
        <v>115.47000000000004</v>
      </c>
      <c r="D50" s="181" t="s">
        <v>6</v>
      </c>
      <c r="E50" s="182">
        <f>IF(H49="AFIII",VLOOKUP($D50,Sheet1!$A$34:$K$48,5,FALSE),IF(H49="UBIII",VLOOKUP($D50,Sheet1!$A$34:$K$48,8,FALSE),VLOOKUP($D50,Sheet1!$A$34:$K$48,2,FALSE)))</f>
        <v>2.86</v>
      </c>
      <c r="F50" s="182">
        <f>ROUNDDOWN((IF(H49="AFIII",VLOOKUP($D50,Sheet1!$A$34:$K$48,5,FALSE),IF(H49="UBIII",VLOOKUP($D50,Sheet1!$A$34:$K$48,8,FALSE),VLOOKUP($D50,Sheet1!$A$34:$K$48,2,FALSE))))*0.85,2)</f>
        <v>2.4300000000000002</v>
      </c>
      <c r="G50" s="182">
        <f t="shared" si="58"/>
        <v>2.4300000000000002</v>
      </c>
      <c r="H50" s="183" t="s">
        <v>84</v>
      </c>
      <c r="I50" s="182">
        <f>I49-G50</f>
        <v>5.1400000000000006</v>
      </c>
      <c r="K50" s="182">
        <f t="shared" si="60"/>
        <v>11.219999999999999</v>
      </c>
      <c r="L50" s="182">
        <f t="shared" si="48"/>
        <v>23.11</v>
      </c>
      <c r="O50" s="182">
        <f t="shared" si="50"/>
        <v>71.819999999999879</v>
      </c>
      <c r="Q50" s="182">
        <f t="shared" si="59"/>
        <v>4.7900000000000009</v>
      </c>
      <c r="R50" s="182">
        <f t="shared" si="51"/>
        <v>28.83</v>
      </c>
      <c r="S50" s="183" t="s">
        <v>87</v>
      </c>
      <c r="T50" s="182">
        <f t="shared" si="62"/>
        <v>9.33</v>
      </c>
      <c r="U50" s="184">
        <f t="shared" si="61"/>
        <v>69.329999999999956</v>
      </c>
      <c r="V50" s="201">
        <f>IF(H49="AFIII",VLOOKUP(D50,Sheet1!$A$4:$H$18,5,FALSE),IF(H49="UBIII",VLOOKUP(D50,Sheet1!$A$4:$H$18,8,FALSE),IF(H49="",VLOOKUP(D50,Sheet1!$A$4:$H$18,2,FALSE),"0")))</f>
        <v>1768</v>
      </c>
      <c r="W50" s="201">
        <f t="shared" si="53"/>
        <v>0</v>
      </c>
      <c r="X50" s="208">
        <f t="shared" si="54"/>
        <v>1725</v>
      </c>
      <c r="Y50" s="171" t="str">
        <f t="shared" si="55"/>
        <v>SUCCESS</v>
      </c>
      <c r="Z50" s="171" t="str">
        <f t="shared" si="56"/>
        <v>SUCCESS</v>
      </c>
      <c r="AA50" s="185">
        <f t="shared" si="35"/>
        <v>160.81233220749974</v>
      </c>
    </row>
    <row r="51" spans="1:27">
      <c r="A51" s="112">
        <f>ROUNDDOWN(IF(N50-G51&gt;0,(IF(H50="AFIII",VLOOKUP(D51,Sheet1!$K$4:$S$19,5,FALSE),IF(H50="UBIII",VLOOKUP(D51,Sheet1!$K$4:$S$19,8,FALSE),VLOOKUP(D51,Sheet1!$K$4:$S$19,2,FALSE)))*1.2),IF(H50="AFIII",VLOOKUP(D51,Sheet1!$K$4:$S$19,5,FALSE),IF(H50="UBIII",VLOOKUP(D51,Sheet1!$K$4:$S$19,8,FALSE),VLOOKUP(D51,Sheet1!$K$4:$S$19,2,FALSE)))),0)</f>
        <v>168</v>
      </c>
      <c r="B51" s="113">
        <f t="shared" si="45"/>
        <v>18737</v>
      </c>
      <c r="C51" s="118">
        <f t="shared" si="46"/>
        <v>117.50000000000004</v>
      </c>
      <c r="D51" s="181" t="s">
        <v>12</v>
      </c>
      <c r="E51" s="182">
        <f>IF(H50="AFIII",VLOOKUP($D51,Sheet1!$A$34:$K$48,5,FALSE),IF(H50="UBIII",VLOOKUP($D51,Sheet1!$A$34:$K$48,8,FALSE),VLOOKUP($D51,Sheet1!$A$34:$K$48,2,FALSE)))</f>
        <v>1.67</v>
      </c>
      <c r="F51" s="182">
        <f>ROUNDDOWN((IF(H50="AFIII",VLOOKUP($D51,Sheet1!$A$34:$K$48,5,FALSE),IF(H50="UBIII",VLOOKUP($D51,Sheet1!$A$34:$K$48,8,FALSE),VLOOKUP($D51,Sheet1!$A$34:$K$48,2,FALSE))))*0.85,2)</f>
        <v>1.41</v>
      </c>
      <c r="G51" s="182">
        <f t="shared" si="58"/>
        <v>2.0299999999999998</v>
      </c>
      <c r="H51" s="183" t="s">
        <v>122</v>
      </c>
      <c r="I51" s="182">
        <v>10</v>
      </c>
      <c r="K51" s="182">
        <f t="shared" si="60"/>
        <v>9.19</v>
      </c>
      <c r="L51" s="182">
        <f t="shared" si="48"/>
        <v>21.08</v>
      </c>
      <c r="O51" s="182">
        <f t="shared" si="50"/>
        <v>69.789999999999878</v>
      </c>
      <c r="Q51" s="182">
        <f t="shared" si="59"/>
        <v>2.7600000000000011</v>
      </c>
      <c r="R51" s="182">
        <f t="shared" si="51"/>
        <v>26.799999999999997</v>
      </c>
      <c r="S51" s="183" t="s">
        <v>87</v>
      </c>
      <c r="T51" s="182">
        <f t="shared" si="62"/>
        <v>7.3000000000000007</v>
      </c>
      <c r="U51" s="184">
        <f t="shared" si="61"/>
        <v>67.299999999999955</v>
      </c>
      <c r="V51" s="201">
        <f>IF(H50="AFIII",VLOOKUP(D51,Sheet1!$A$4:$H$18,5,FALSE),IF(H50="UBIII",VLOOKUP(D51,Sheet1!$A$4:$H$18,8,FALSE),IF(H50="",VLOOKUP(D51,Sheet1!$A$4:$H$18,2,FALSE),"0")))</f>
        <v>265</v>
      </c>
      <c r="W51" s="201">
        <f t="shared" si="53"/>
        <v>0</v>
      </c>
      <c r="X51" s="208">
        <f t="shared" si="54"/>
        <v>1460</v>
      </c>
      <c r="Y51" s="171" t="str">
        <f t="shared" si="55"/>
        <v>SUCCESS</v>
      </c>
      <c r="Z51" s="171" t="str">
        <f t="shared" si="56"/>
        <v>SUCCESS</v>
      </c>
      <c r="AA51" s="185">
        <f t="shared" si="35"/>
        <v>159.46382978723398</v>
      </c>
    </row>
    <row r="52" spans="1:27">
      <c r="A52" s="112">
        <f>ROUNDDOWN(IF(N51-G52&gt;0,(IF(H51="AFIII",VLOOKUP(D52,Sheet1!$K$4:$S$19,5,FALSE),IF(H51="UBIII",VLOOKUP(D52,Sheet1!$K$4:$S$19,8,FALSE),VLOOKUP(D52,Sheet1!$K$4:$S$19,2,FALSE)))*1.2),IF(H51="AFIII",VLOOKUP(D52,Sheet1!$K$4:$S$19,5,FALSE),IF(H51="UBIII",VLOOKUP(D52,Sheet1!$K$4:$S$19,8,FALSE),VLOOKUP(D52,Sheet1!$K$4:$S$19,2,FALSE)))),0)</f>
        <v>295</v>
      </c>
      <c r="B52" s="113">
        <f t="shared" si="45"/>
        <v>19032</v>
      </c>
      <c r="C52" s="118">
        <f t="shared" si="46"/>
        <v>119.93000000000005</v>
      </c>
      <c r="D52" s="181" t="s">
        <v>19</v>
      </c>
      <c r="E52" s="182">
        <f>IF(H51="AFIII",VLOOKUP($D52,Sheet1!$A$34:$K$48,5,FALSE),IF(H51="UBIII",VLOOKUP($D52,Sheet1!$A$34:$K$48,8,FALSE),VLOOKUP($D52,Sheet1!$A$34:$K$48,2,FALSE)))</f>
        <v>2.86</v>
      </c>
      <c r="F52" s="182">
        <f>ROUNDDOWN((IF(H51="AFIII",VLOOKUP($D52,Sheet1!$A$34:$K$48,5,FALSE),IF(H51="UBIII",VLOOKUP($D52,Sheet1!$A$34:$K$48,8,FALSE),VLOOKUP($D52,Sheet1!$A$34:$K$48,2,FALSE))))*0.85,2)</f>
        <v>2.4300000000000002</v>
      </c>
      <c r="G52" s="182">
        <f t="shared" si="58"/>
        <v>2.4300000000000002</v>
      </c>
      <c r="H52" s="183" t="s">
        <v>122</v>
      </c>
      <c r="I52" s="182">
        <f>I51-G52</f>
        <v>7.57</v>
      </c>
      <c r="K52" s="182">
        <f t="shared" si="60"/>
        <v>6.76</v>
      </c>
      <c r="L52" s="182">
        <f t="shared" si="48"/>
        <v>18.649999999999999</v>
      </c>
      <c r="O52" s="182">
        <f t="shared" si="50"/>
        <v>67.359999999999872</v>
      </c>
      <c r="P52" s="183" t="s">
        <v>250</v>
      </c>
      <c r="Q52" s="182">
        <v>21</v>
      </c>
      <c r="R52" s="182">
        <f t="shared" si="51"/>
        <v>24.369999999999997</v>
      </c>
      <c r="S52" s="183" t="s">
        <v>87</v>
      </c>
      <c r="T52" s="182">
        <f t="shared" si="62"/>
        <v>4.870000000000001</v>
      </c>
      <c r="U52" s="184">
        <f t="shared" si="61"/>
        <v>64.869999999999948</v>
      </c>
      <c r="V52" s="201">
        <f>IF(H51="AFIII",VLOOKUP(D52,Sheet1!$A$4:$H$18,5,FALSE),IF(H51="UBIII",VLOOKUP(D52,Sheet1!$A$4:$H$18,8,FALSE),IF(H51="",VLOOKUP(D52,Sheet1!$A$4:$H$18,2,FALSE),"0")))</f>
        <v>1060</v>
      </c>
      <c r="W52" s="201">
        <f t="shared" si="53"/>
        <v>7033</v>
      </c>
      <c r="X52" s="208">
        <f t="shared" si="54"/>
        <v>7433</v>
      </c>
      <c r="Y52" s="171" t="str">
        <f t="shared" si="55"/>
        <v>SUCCESS</v>
      </c>
      <c r="Z52" s="171" t="str">
        <f t="shared" si="56"/>
        <v>SUCCESS</v>
      </c>
      <c r="AA52" s="185">
        <f t="shared" si="35"/>
        <v>158.69257066622191</v>
      </c>
    </row>
    <row r="53" spans="1:27">
      <c r="A53" s="119">
        <f>ROUNDDOWN(IF(N52-G53&gt;0,(IF(H52="AFIII",VLOOKUP(D53,Sheet1!$K$4:$S$19,5,FALSE),IF(H52="UBIII",VLOOKUP(D53,Sheet1!$K$4:$S$19,8,FALSE),VLOOKUP(D53,Sheet1!$K$4:$S$19,2,FALSE)))*1.2),IF(H52="AFIII",VLOOKUP(D53,Sheet1!$K$4:$S$19,5,FALSE),IF(H52="UBIII",VLOOKUP(D53,Sheet1!$K$4:$S$19,8,FALSE),VLOOKUP(D53,Sheet1!$K$4:$S$19,2,FALSE)))),0)</f>
        <v>280</v>
      </c>
      <c r="B53" s="120">
        <f t="shared" si="45"/>
        <v>19312</v>
      </c>
      <c r="C53" s="121">
        <f t="shared" si="46"/>
        <v>122.36000000000006</v>
      </c>
      <c r="D53" s="191" t="s">
        <v>14</v>
      </c>
      <c r="E53" s="192">
        <f>IF(H52="AFIII",VLOOKUP($D53,Sheet1!$A$34:$K$48,5,FALSE),IF(H52="UBIII",VLOOKUP($D53,Sheet1!$A$34:$K$48,8,FALSE),VLOOKUP($D53,Sheet1!$A$34:$K$48,2,FALSE)))</f>
        <v>2.86</v>
      </c>
      <c r="F53" s="192">
        <f>ROUNDDOWN((IF(H52="AFIII",VLOOKUP($D53,Sheet1!$A$34:$K$48,5,FALSE),IF(H52="UBIII",VLOOKUP($D53,Sheet1!$A$34:$K$48,8,FALSE),VLOOKUP($D53,Sheet1!$A$34:$K$48,2,FALSE))))*0.85,2)</f>
        <v>2.4300000000000002</v>
      </c>
      <c r="G53" s="192">
        <f t="shared" si="58"/>
        <v>2.4300000000000002</v>
      </c>
      <c r="H53" s="193" t="s">
        <v>122</v>
      </c>
      <c r="I53" s="192">
        <f>I52-G53</f>
        <v>5.1400000000000006</v>
      </c>
      <c r="J53" s="193"/>
      <c r="K53" s="192">
        <v>20</v>
      </c>
      <c r="L53" s="192">
        <f t="shared" si="48"/>
        <v>16.22</v>
      </c>
      <c r="M53" s="193"/>
      <c r="N53" s="192"/>
      <c r="O53" s="192">
        <f t="shared" si="50"/>
        <v>64.929999999999865</v>
      </c>
      <c r="P53" s="193"/>
      <c r="Q53" s="192">
        <f t="shared" ref="Q53:Q60" si="63">Q52-G53</f>
        <v>18.57</v>
      </c>
      <c r="R53" s="192">
        <f t="shared" si="51"/>
        <v>21.939999999999998</v>
      </c>
      <c r="S53" s="193" t="s">
        <v>87</v>
      </c>
      <c r="T53" s="192">
        <f t="shared" si="62"/>
        <v>2.4400000000000008</v>
      </c>
      <c r="U53" s="194">
        <f t="shared" si="61"/>
        <v>62.439999999999948</v>
      </c>
      <c r="V53" s="211">
        <f>IF(H52="AFIII",VLOOKUP(D53,Sheet1!$A$4:$H$18,5,FALSE),IF(H52="UBIII",VLOOKUP(D53,Sheet1!$A$4:$H$18,8,FALSE),IF(H52="",VLOOKUP(D53,Sheet1!$A$4:$H$18,2,FALSE),"0")))</f>
        <v>884</v>
      </c>
      <c r="W53" s="211">
        <f t="shared" si="53"/>
        <v>7033</v>
      </c>
      <c r="X53" s="212">
        <f t="shared" si="54"/>
        <v>10475</v>
      </c>
      <c r="Y53" s="195" t="str">
        <f t="shared" si="55"/>
        <v>SUCCESS</v>
      </c>
      <c r="Z53" s="195" t="str">
        <f t="shared" si="56"/>
        <v>SUCCESS</v>
      </c>
      <c r="AA53" s="185">
        <f t="shared" si="35"/>
        <v>157.82935599869231</v>
      </c>
    </row>
    <row r="54" spans="1:27">
      <c r="A54" s="112">
        <f>ROUNDDOWN(IF(N53-G54&gt;0,(IF(H53="AFIII",VLOOKUP(D54,Sheet1!$K$4:$S$19,5,FALSE),IF(H53="UBIII",VLOOKUP(D54,Sheet1!$K$4:$S$19,8,FALSE),VLOOKUP(D54,Sheet1!$K$4:$S$19,2,FALSE)))*1.2),IF(H53="AFIII",VLOOKUP(D54,Sheet1!$K$4:$S$19,5,FALSE),IF(H53="UBIII",VLOOKUP(D54,Sheet1!$K$4:$S$19,8,FALSE),VLOOKUP(D54,Sheet1!$K$4:$S$19,2,FALSE)))),0)</f>
        <v>168</v>
      </c>
      <c r="B54" s="113">
        <f t="shared" si="45"/>
        <v>19480</v>
      </c>
      <c r="C54" s="118">
        <f t="shared" si="46"/>
        <v>124.39000000000006</v>
      </c>
      <c r="D54" s="181" t="s">
        <v>3</v>
      </c>
      <c r="E54" s="182">
        <f>IF(H53="AFIII",VLOOKUP($D54,Sheet1!$A$34:$K$48,5,FALSE),IF(H53="UBIII",VLOOKUP($D54,Sheet1!$A$34:$K$48,8,FALSE),VLOOKUP($D54,Sheet1!$A$34:$K$48,2,FALSE)))</f>
        <v>1.67</v>
      </c>
      <c r="F54" s="182">
        <f>ROUNDDOWN((IF(H53="AFIII",VLOOKUP($D54,Sheet1!$A$34:$K$48,5,FALSE),IF(H53="UBIII",VLOOKUP($D54,Sheet1!$A$34:$K$48,8,FALSE),VLOOKUP($D54,Sheet1!$A$34:$K$48,2,FALSE))))*0.85,2)</f>
        <v>1.41</v>
      </c>
      <c r="G54" s="182">
        <f t="shared" si="58"/>
        <v>2.0299999999999998</v>
      </c>
      <c r="H54" s="183" t="s">
        <v>84</v>
      </c>
      <c r="I54" s="182">
        <v>10</v>
      </c>
      <c r="K54" s="182">
        <f>K53-G54</f>
        <v>17.97</v>
      </c>
      <c r="L54" s="182">
        <f t="shared" si="48"/>
        <v>14.19</v>
      </c>
      <c r="O54" s="182">
        <f t="shared" si="50"/>
        <v>62.899999999999864</v>
      </c>
      <c r="Q54" s="182">
        <f t="shared" si="63"/>
        <v>16.54</v>
      </c>
      <c r="R54" s="182">
        <f t="shared" si="51"/>
        <v>19.909999999999997</v>
      </c>
      <c r="S54" s="183" t="s">
        <v>87</v>
      </c>
      <c r="T54" s="182">
        <f t="shared" si="62"/>
        <v>0.41000000000000103</v>
      </c>
      <c r="U54" s="184">
        <f t="shared" si="61"/>
        <v>60.409999999999947</v>
      </c>
      <c r="V54" s="201">
        <f>IF(H53="AFIII",VLOOKUP(D54,Sheet1!$A$4:$H$18,5,FALSE),IF(H53="UBIII",VLOOKUP(D54,Sheet1!$A$4:$H$18,8,FALSE),IF(H53="",VLOOKUP(D54,Sheet1!$A$4:$H$18,2,FALSE),"0")))</f>
        <v>442</v>
      </c>
      <c r="W54" s="201">
        <f t="shared" si="53"/>
        <v>7033</v>
      </c>
      <c r="X54" s="208">
        <f t="shared" si="54"/>
        <v>10917</v>
      </c>
      <c r="Y54" s="171" t="str">
        <f t="shared" si="55"/>
        <v>SUCCESS</v>
      </c>
      <c r="Z54" s="171" t="str">
        <f t="shared" si="56"/>
        <v>SUCCESS</v>
      </c>
      <c r="AA54" s="185">
        <f t="shared" si="35"/>
        <v>156.60422863574234</v>
      </c>
    </row>
    <row r="55" spans="1:27">
      <c r="A55" s="112">
        <f>ROUNDDOWN(IF(N54-G55&gt;0,(IF(H54="AFIII",VLOOKUP(D55,Sheet1!$K$4:$S$19,5,FALSE),IF(H54="UBIII",VLOOKUP(D55,Sheet1!$K$4:$S$19,8,FALSE),VLOOKUP(D55,Sheet1!$K$4:$S$19,2,FALSE)))*1.2),IF(H54="AFIII",VLOOKUP(D55,Sheet1!$K$4:$S$19,5,FALSE),IF(H54="UBIII",VLOOKUP(D55,Sheet1!$K$4:$S$19,8,FALSE),VLOOKUP(D55,Sheet1!$K$4:$S$19,2,FALSE)))),0)</f>
        <v>504</v>
      </c>
      <c r="B55" s="113">
        <f t="shared" si="45"/>
        <v>19984</v>
      </c>
      <c r="C55" s="118">
        <f t="shared" si="46"/>
        <v>126.82000000000006</v>
      </c>
      <c r="D55" s="181" t="s">
        <v>5</v>
      </c>
      <c r="E55" s="182">
        <f>IF(H54="AFIII",VLOOKUP($D55,Sheet1!$A$34:$K$48,5,FALSE),IF(H54="UBIII",VLOOKUP($D55,Sheet1!$A$34:$K$48,8,FALSE),VLOOKUP($D55,Sheet1!$A$34:$K$48,2,FALSE)))</f>
        <v>2.86</v>
      </c>
      <c r="F55" s="182">
        <f>ROUNDDOWN((IF(H54="AFIII",VLOOKUP($D55,Sheet1!$A$34:$K$48,5,FALSE),IF(H54="UBIII",VLOOKUP($D55,Sheet1!$A$34:$K$48,8,FALSE),VLOOKUP($D55,Sheet1!$A$34:$K$48,2,FALSE))))*0.85,2)</f>
        <v>2.4300000000000002</v>
      </c>
      <c r="G55" s="182">
        <f t="shared" si="58"/>
        <v>2.4300000000000002</v>
      </c>
      <c r="H55" s="183" t="s">
        <v>84</v>
      </c>
      <c r="I55" s="182">
        <f>I54-G55</f>
        <v>7.57</v>
      </c>
      <c r="K55" s="182">
        <f t="shared" ref="K55:K61" si="64">K54-G55</f>
        <v>15.54</v>
      </c>
      <c r="L55" s="182">
        <f t="shared" si="48"/>
        <v>11.76</v>
      </c>
      <c r="O55" s="182">
        <f t="shared" si="50"/>
        <v>60.469999999999864</v>
      </c>
      <c r="Q55" s="182">
        <f t="shared" si="63"/>
        <v>14.11</v>
      </c>
      <c r="R55" s="182">
        <f t="shared" si="51"/>
        <v>17.479999999999997</v>
      </c>
      <c r="T55" s="182">
        <f t="shared" si="62"/>
        <v>-2.0199999999999991</v>
      </c>
      <c r="U55" s="184">
        <f t="shared" si="61"/>
        <v>57.979999999999947</v>
      </c>
      <c r="V55" s="201">
        <f>IF(H54="AFIII",VLOOKUP(D55,Sheet1!$A$4:$H$18,5,FALSE),IF(H54="UBIII",VLOOKUP(D55,Sheet1!$A$4:$H$18,8,FALSE),IF(H54="",VLOOKUP(D55,Sheet1!$A$4:$H$18,2,FALSE),"0")))</f>
        <v>1768</v>
      </c>
      <c r="W55" s="201">
        <f t="shared" si="53"/>
        <v>0</v>
      </c>
      <c r="X55" s="208">
        <f t="shared" si="54"/>
        <v>9149</v>
      </c>
      <c r="Y55" s="171" t="str">
        <f t="shared" si="55"/>
        <v>SUCCESS</v>
      </c>
      <c r="Z55" s="171" t="str">
        <f t="shared" si="56"/>
        <v>SUCCESS</v>
      </c>
      <c r="AA55" s="185">
        <f t="shared" si="35"/>
        <v>157.57766913735995</v>
      </c>
    </row>
    <row r="56" spans="1:27">
      <c r="A56" s="112">
        <f>ROUNDDOWN(IF(N55-G56&gt;0,(IF(H55="AFIII",VLOOKUP(D56,Sheet1!$K$4:$S$19,5,FALSE),IF(H55="UBIII",VLOOKUP(D56,Sheet1!$K$4:$S$19,8,FALSE),VLOOKUP(D56,Sheet1!$K$4:$S$19,2,FALSE)))*1.2),IF(H55="AFIII",VLOOKUP(D56,Sheet1!$K$4:$S$19,5,FALSE),IF(H55="UBIII",VLOOKUP(D56,Sheet1!$K$4:$S$19,8,FALSE),VLOOKUP(D56,Sheet1!$K$4:$S$19,2,FALSE)))),0)</f>
        <v>504</v>
      </c>
      <c r="B56" s="113">
        <f t="shared" si="45"/>
        <v>20488</v>
      </c>
      <c r="C56" s="118">
        <f t="shared" si="46"/>
        <v>129.68000000000006</v>
      </c>
      <c r="D56" s="181" t="s">
        <v>5</v>
      </c>
      <c r="E56" s="182">
        <f>IF(H55="AFIII",VLOOKUP($D56,Sheet1!$A$34:$K$48,5,FALSE),IF(H55="UBIII",VLOOKUP($D56,Sheet1!$A$34:$K$48,8,FALSE),VLOOKUP($D56,Sheet1!$A$34:$K$48,2,FALSE)))</f>
        <v>2.86</v>
      </c>
      <c r="F56" s="182">
        <f>ROUNDDOWN((IF(H55="AFIII",VLOOKUP($D56,Sheet1!$A$34:$K$48,5,FALSE),IF(H55="UBIII",VLOOKUP($D56,Sheet1!$A$34:$K$48,8,FALSE),VLOOKUP($D56,Sheet1!$A$34:$K$48,2,FALSE))))*0.85,2)</f>
        <v>2.4300000000000002</v>
      </c>
      <c r="G56" s="182">
        <f t="shared" si="58"/>
        <v>2.86</v>
      </c>
      <c r="H56" s="183" t="s">
        <v>84</v>
      </c>
      <c r="I56" s="182">
        <f t="shared" ref="I56" si="65">I55-G56</f>
        <v>4.7100000000000009</v>
      </c>
      <c r="K56" s="182">
        <f t="shared" si="64"/>
        <v>12.68</v>
      </c>
      <c r="L56" s="182">
        <f t="shared" si="48"/>
        <v>8.9</v>
      </c>
      <c r="O56" s="182">
        <f t="shared" si="50"/>
        <v>57.609999999999864</v>
      </c>
      <c r="Q56" s="182">
        <f t="shared" si="63"/>
        <v>11.25</v>
      </c>
      <c r="R56" s="182">
        <f t="shared" si="51"/>
        <v>14.619999999999997</v>
      </c>
      <c r="U56" s="184">
        <f t="shared" si="61"/>
        <v>55.119999999999948</v>
      </c>
      <c r="V56" s="201">
        <f>IF(H55="AFIII",VLOOKUP(D56,Sheet1!$A$4:$H$18,5,FALSE),IF(H55="UBIII",VLOOKUP(D56,Sheet1!$A$4:$H$18,8,FALSE),IF(H55="",VLOOKUP(D56,Sheet1!$A$4:$H$18,2,FALSE),"0")))</f>
        <v>1768</v>
      </c>
      <c r="W56" s="201">
        <f t="shared" si="53"/>
        <v>0</v>
      </c>
      <c r="X56" s="208">
        <f t="shared" si="54"/>
        <v>7381</v>
      </c>
      <c r="Y56" s="171" t="str">
        <f t="shared" si="55"/>
        <v>SUCCESS</v>
      </c>
      <c r="Z56" s="171" t="str">
        <f t="shared" si="56"/>
        <v>SUCCESS</v>
      </c>
      <c r="AA56" s="185">
        <f t="shared" si="35"/>
        <v>157.9888957433682</v>
      </c>
    </row>
    <row r="57" spans="1:27">
      <c r="A57" s="112">
        <f>ROUNDDOWN(IF(N56-G57&gt;0,(IF(H56="AFIII",VLOOKUP(D57,Sheet1!$K$4:$S$19,5,FALSE),IF(H56="UBIII",VLOOKUP(D57,Sheet1!$K$4:$S$19,8,FALSE),VLOOKUP(D57,Sheet1!$K$4:$S$19,2,FALSE)))*1.2),IF(H56="AFIII",VLOOKUP(D57,Sheet1!$K$4:$S$19,5,FALSE),IF(H56="UBIII",VLOOKUP(D57,Sheet1!$K$4:$S$19,8,FALSE),VLOOKUP(D57,Sheet1!$K$4:$S$19,2,FALSE)))),0)</f>
        <v>324</v>
      </c>
      <c r="B57" s="113">
        <f t="shared" si="45"/>
        <v>20812</v>
      </c>
      <c r="C57" s="118">
        <f t="shared" si="46"/>
        <v>132.07000000000005</v>
      </c>
      <c r="D57" s="181" t="s">
        <v>1</v>
      </c>
      <c r="E57" s="182">
        <f>IF(H56="AFIII",VLOOKUP($D57,Sheet1!$A$34:$K$48,5,FALSE),IF(H56="UBIII",VLOOKUP($D57,Sheet1!$A$34:$K$48,8,FALSE),VLOOKUP($D57,Sheet1!$A$34:$K$48,2,FALSE)))</f>
        <v>2.39</v>
      </c>
      <c r="F57" s="182">
        <f>ROUNDDOWN((IF(H56="AFIII",VLOOKUP($D57,Sheet1!$A$34:$K$48,5,FALSE),IF(H56="UBIII",VLOOKUP($D57,Sheet1!$A$34:$K$48,8,FALSE),VLOOKUP($D57,Sheet1!$A$34:$K$48,2,FALSE))))*0.85,2)</f>
        <v>2.0299999999999998</v>
      </c>
      <c r="G57" s="182">
        <f t="shared" si="58"/>
        <v>2.39</v>
      </c>
      <c r="H57" s="183" t="s">
        <v>84</v>
      </c>
      <c r="I57" s="182">
        <v>10</v>
      </c>
      <c r="K57" s="182">
        <f t="shared" si="64"/>
        <v>10.29</v>
      </c>
      <c r="L57" s="182">
        <f t="shared" si="48"/>
        <v>6.51</v>
      </c>
      <c r="O57" s="182">
        <f t="shared" si="50"/>
        <v>55.219999999999864</v>
      </c>
      <c r="Q57" s="182">
        <f t="shared" si="63"/>
        <v>8.86</v>
      </c>
      <c r="R57" s="182">
        <f>R56-G57</f>
        <v>12.229999999999997</v>
      </c>
      <c r="U57" s="184">
        <f t="shared" si="61"/>
        <v>52.729999999999947</v>
      </c>
      <c r="V57" s="201">
        <f>IF(H56="AFIII",VLOOKUP(D57,Sheet1!$A$4:$H$18,5,FALSE),IF(H56="UBIII",VLOOKUP(D57,Sheet1!$A$4:$H$18,8,FALSE),IF(H56="",VLOOKUP(D57,Sheet1!$A$4:$H$18,2,FALSE),"0")))</f>
        <v>2120</v>
      </c>
      <c r="W57" s="201">
        <f t="shared" si="53"/>
        <v>0</v>
      </c>
      <c r="X57" s="208">
        <f t="shared" si="54"/>
        <v>5261</v>
      </c>
      <c r="Y57" s="171" t="str">
        <f t="shared" si="55"/>
        <v>SUCCESS</v>
      </c>
      <c r="Z57" s="171" t="str">
        <f t="shared" si="56"/>
        <v>SUCCESS</v>
      </c>
      <c r="AA57" s="185">
        <f t="shared" si="35"/>
        <v>157.58309987128033</v>
      </c>
    </row>
    <row r="58" spans="1:27">
      <c r="A58" s="112">
        <f>ROUNDDOWN(IF(N57-G58&gt;0,(IF(H57="AFIII",VLOOKUP(D58,Sheet1!$K$4:$S$19,5,FALSE),IF(H57="UBIII",VLOOKUP(D58,Sheet1!$K$4:$S$19,8,FALSE),VLOOKUP(D58,Sheet1!$K$4:$S$19,2,FALSE)))*1.2),IF(H57="AFIII",VLOOKUP(D58,Sheet1!$K$4:$S$19,5,FALSE),IF(H57="UBIII",VLOOKUP(D58,Sheet1!$K$4:$S$19,8,FALSE),VLOOKUP(D58,Sheet1!$K$4:$S$19,2,FALSE)))),0)</f>
        <v>504</v>
      </c>
      <c r="B58" s="113">
        <f t="shared" si="45"/>
        <v>21316</v>
      </c>
      <c r="C58" s="118">
        <f t="shared" si="46"/>
        <v>134.93000000000006</v>
      </c>
      <c r="D58" s="181" t="s">
        <v>6</v>
      </c>
      <c r="E58" s="182">
        <f>IF(H57="AFIII",VLOOKUP($D58,Sheet1!$A$34:$K$48,5,FALSE),IF(H57="UBIII",VLOOKUP($D58,Sheet1!$A$34:$K$48,8,FALSE),VLOOKUP($D58,Sheet1!$A$34:$K$48,2,FALSE)))</f>
        <v>2.86</v>
      </c>
      <c r="F58" s="182">
        <f>ROUNDDOWN((IF(H57="AFIII",VLOOKUP($D58,Sheet1!$A$34:$K$48,5,FALSE),IF(H57="UBIII",VLOOKUP($D58,Sheet1!$A$34:$K$48,8,FALSE),VLOOKUP($D58,Sheet1!$A$34:$K$48,2,FALSE))))*0.85,2)</f>
        <v>2.4300000000000002</v>
      </c>
      <c r="G58" s="182">
        <f t="shared" si="58"/>
        <v>2.86</v>
      </c>
      <c r="H58" s="183" t="s">
        <v>84</v>
      </c>
      <c r="I58" s="182">
        <f>I57-G58</f>
        <v>7.1400000000000006</v>
      </c>
      <c r="K58" s="182">
        <f t="shared" si="64"/>
        <v>7.43</v>
      </c>
      <c r="L58" s="182">
        <f t="shared" si="48"/>
        <v>3.65</v>
      </c>
      <c r="O58" s="182">
        <f t="shared" si="50"/>
        <v>52.359999999999864</v>
      </c>
      <c r="Q58" s="182">
        <f t="shared" si="63"/>
        <v>6</v>
      </c>
      <c r="R58" s="182">
        <f t="shared" ref="R58:R63" si="66">R57-G58</f>
        <v>9.3699999999999974</v>
      </c>
      <c r="U58" s="184">
        <f t="shared" si="61"/>
        <v>49.869999999999948</v>
      </c>
      <c r="V58" s="201">
        <f>IF(H57="AFIII",VLOOKUP(D58,Sheet1!$A$4:$H$18,5,FALSE),IF(H57="UBIII",VLOOKUP(D58,Sheet1!$A$4:$H$18,8,FALSE),IF(H57="",VLOOKUP(D58,Sheet1!$A$4:$H$18,2,FALSE),"0")))</f>
        <v>1768</v>
      </c>
      <c r="W58" s="201">
        <f t="shared" si="53"/>
        <v>0</v>
      </c>
      <c r="X58" s="208">
        <f t="shared" si="54"/>
        <v>3493</v>
      </c>
      <c r="Y58" s="171" t="str">
        <f t="shared" si="55"/>
        <v>SUCCESS</v>
      </c>
      <c r="Z58" s="171" t="str">
        <f t="shared" si="56"/>
        <v>SUCCESS</v>
      </c>
      <c r="AA58" s="185">
        <f t="shared" si="35"/>
        <v>157.97821092418283</v>
      </c>
    </row>
    <row r="59" spans="1:27">
      <c r="A59" s="112">
        <f>ROUNDDOWN(IF(N58-G59&gt;0,(IF(H58="AFIII",VLOOKUP(D59,Sheet1!$K$4:$S$19,5,FALSE),IF(H58="UBIII",VLOOKUP(D59,Sheet1!$K$4:$S$19,8,FALSE),VLOOKUP(D59,Sheet1!$K$4:$S$19,2,FALSE)))*1.2),IF(H58="AFIII",VLOOKUP(D59,Sheet1!$K$4:$S$19,5,FALSE),IF(H58="UBIII",VLOOKUP(D59,Sheet1!$K$4:$S$19,8,FALSE),VLOOKUP(D59,Sheet1!$K$4:$S$19,2,FALSE)))),0)</f>
        <v>504</v>
      </c>
      <c r="B59" s="113">
        <f t="shared" si="45"/>
        <v>21820</v>
      </c>
      <c r="C59" s="118">
        <f t="shared" si="46"/>
        <v>137.79000000000008</v>
      </c>
      <c r="D59" s="181" t="s">
        <v>6</v>
      </c>
      <c r="E59" s="182">
        <f>IF(H58="AFIII",VLOOKUP($D59,Sheet1!$A$34:$K$48,5,FALSE),IF(H58="UBIII",VLOOKUP($D59,Sheet1!$A$34:$K$48,8,FALSE),VLOOKUP($D59,Sheet1!$A$34:$K$48,2,FALSE)))</f>
        <v>2.86</v>
      </c>
      <c r="F59" s="182">
        <f>ROUNDDOWN((IF(H58="AFIII",VLOOKUP($D59,Sheet1!$A$34:$K$48,5,FALSE),IF(H58="UBIII",VLOOKUP($D59,Sheet1!$A$34:$K$48,8,FALSE),VLOOKUP($D59,Sheet1!$A$34:$K$48,2,FALSE))))*0.85,2)</f>
        <v>2.4300000000000002</v>
      </c>
      <c r="G59" s="182">
        <f t="shared" si="58"/>
        <v>2.86</v>
      </c>
      <c r="H59" s="183" t="s">
        <v>84</v>
      </c>
      <c r="I59" s="182">
        <f>I58-G59</f>
        <v>4.2800000000000011</v>
      </c>
      <c r="K59" s="182">
        <f t="shared" si="64"/>
        <v>4.57</v>
      </c>
      <c r="L59" s="182">
        <f t="shared" si="48"/>
        <v>0.79</v>
      </c>
      <c r="O59" s="182">
        <f t="shared" si="50"/>
        <v>49.499999999999865</v>
      </c>
      <c r="Q59" s="182">
        <f t="shared" si="63"/>
        <v>3.14</v>
      </c>
      <c r="R59" s="182">
        <f t="shared" si="66"/>
        <v>6.509999999999998</v>
      </c>
      <c r="U59" s="184">
        <f t="shared" si="61"/>
        <v>47.009999999999948</v>
      </c>
      <c r="V59" s="201">
        <f>IF(H58="AFIII",VLOOKUP(D59,Sheet1!$A$4:$H$18,5,FALSE),IF(H58="UBIII",VLOOKUP(D59,Sheet1!$A$4:$H$18,8,FALSE),IF(H58="",VLOOKUP(D59,Sheet1!$A$4:$H$18,2,FALSE),"0")))</f>
        <v>1768</v>
      </c>
      <c r="W59" s="201">
        <f t="shared" si="53"/>
        <v>0</v>
      </c>
      <c r="X59" s="208">
        <f t="shared" si="54"/>
        <v>1725</v>
      </c>
      <c r="Y59" s="171" t="str">
        <f t="shared" si="55"/>
        <v>SUCCESS</v>
      </c>
      <c r="Z59" s="171" t="str">
        <f t="shared" si="56"/>
        <v>SUCCESS</v>
      </c>
      <c r="AA59" s="185">
        <f t="shared" si="35"/>
        <v>158.35691995064946</v>
      </c>
    </row>
    <row r="60" spans="1:27">
      <c r="A60" s="112">
        <f>ROUNDDOWN(IF(N59-G60&gt;0,(IF(H59="AFIII",VLOOKUP(D60,Sheet1!$K$4:$S$19,5,FALSE),IF(H59="UBIII",VLOOKUP(D60,Sheet1!$K$4:$S$19,8,FALSE),VLOOKUP(D60,Sheet1!$K$4:$S$19,2,FALSE)))*1.2),IF(H59="AFIII",VLOOKUP(D60,Sheet1!$K$4:$S$19,5,FALSE),IF(H59="UBIII",VLOOKUP(D60,Sheet1!$K$4:$S$19,8,FALSE),VLOOKUP(D60,Sheet1!$K$4:$S$19,2,FALSE)))),0)</f>
        <v>168</v>
      </c>
      <c r="B60" s="113">
        <f t="shared" si="45"/>
        <v>21988</v>
      </c>
      <c r="C60" s="118">
        <f t="shared" si="46"/>
        <v>140.18000000000006</v>
      </c>
      <c r="D60" s="181" t="s">
        <v>12</v>
      </c>
      <c r="E60" s="182">
        <f>IF(H59="AFIII",VLOOKUP($D60,Sheet1!$A$34:$K$48,5,FALSE),IF(H59="UBIII",VLOOKUP($D60,Sheet1!$A$34:$K$48,8,FALSE),VLOOKUP($D60,Sheet1!$A$34:$K$48,2,FALSE)))</f>
        <v>1.67</v>
      </c>
      <c r="F60" s="182">
        <f>ROUNDDOWN((IF(H59="AFIII",VLOOKUP($D60,Sheet1!$A$34:$K$48,5,FALSE),IF(H59="UBIII",VLOOKUP($D60,Sheet1!$A$34:$K$48,8,FALSE),VLOOKUP($D60,Sheet1!$A$34:$K$48,2,FALSE))))*0.85,2)</f>
        <v>1.41</v>
      </c>
      <c r="G60" s="182">
        <f t="shared" si="58"/>
        <v>2.39</v>
      </c>
      <c r="H60" s="183" t="s">
        <v>122</v>
      </c>
      <c r="I60" s="182">
        <v>10</v>
      </c>
      <c r="K60" s="182">
        <f t="shared" si="64"/>
        <v>2.1800000000000002</v>
      </c>
      <c r="L60" s="182">
        <f t="shared" si="48"/>
        <v>-1.6</v>
      </c>
      <c r="O60" s="182">
        <f t="shared" si="50"/>
        <v>47.109999999999864</v>
      </c>
      <c r="Q60" s="182">
        <f t="shared" si="63"/>
        <v>0.75</v>
      </c>
      <c r="R60" s="182">
        <f t="shared" si="66"/>
        <v>4.1199999999999974</v>
      </c>
      <c r="U60" s="184">
        <f t="shared" si="61"/>
        <v>44.619999999999948</v>
      </c>
      <c r="V60" s="201">
        <f>IF(H59="AFIII",VLOOKUP(D60,Sheet1!$A$4:$H$18,5,FALSE),IF(H59="UBIII",VLOOKUP(D60,Sheet1!$A$4:$H$18,8,FALSE),IF(H59="",VLOOKUP(D60,Sheet1!$A$4:$H$18,2,FALSE),"0")))</f>
        <v>265</v>
      </c>
      <c r="W60" s="201">
        <f t="shared" si="53"/>
        <v>0</v>
      </c>
      <c r="X60" s="208">
        <f t="shared" si="54"/>
        <v>1460</v>
      </c>
      <c r="Y60" s="171" t="str">
        <f t="shared" si="55"/>
        <v>SUCCESS</v>
      </c>
      <c r="Z60" s="171" t="str">
        <f t="shared" si="56"/>
        <v>SUCCESS</v>
      </c>
      <c r="AA60" s="185">
        <f t="shared" si="35"/>
        <v>156.85547153659573</v>
      </c>
    </row>
    <row r="61" spans="1:27">
      <c r="A61" s="122">
        <f>ROUNDDOWN(IF(N60-G61&gt;0,(IF(H60="AFIII",VLOOKUP(D61,Sheet1!$K$4:$S$19,5,FALSE),IF(H60="UBIII",VLOOKUP(D61,Sheet1!$K$4:$S$19,8,FALSE),VLOOKUP(D61,Sheet1!$K$4:$S$19,2,FALSE)))*1.2),IF(H60="AFIII",VLOOKUP(D61,Sheet1!$K$4:$S$19,5,FALSE),IF(H60="UBIII",VLOOKUP(D61,Sheet1!$K$4:$S$19,8,FALSE),VLOOKUP(D61,Sheet1!$K$4:$S$19,2,FALSE)))),0)</f>
        <v>295</v>
      </c>
      <c r="B61" s="123">
        <f t="shared" si="45"/>
        <v>22283</v>
      </c>
      <c r="C61" s="124">
        <f t="shared" si="46"/>
        <v>143.04000000000008</v>
      </c>
      <c r="D61" s="186" t="s">
        <v>19</v>
      </c>
      <c r="E61" s="187">
        <f>IF(H60="AFIII",VLOOKUP($D61,Sheet1!$A$34:$K$48,5,FALSE),IF(H60="UBIII",VLOOKUP($D61,Sheet1!$A$34:$K$48,8,FALSE),VLOOKUP($D61,Sheet1!$A$34:$K$48,2,FALSE)))</f>
        <v>2.86</v>
      </c>
      <c r="F61" s="187">
        <f>ROUNDDOWN((IF(H60="AFIII",VLOOKUP($D61,Sheet1!$A$34:$K$48,5,FALSE),IF(H60="UBIII",VLOOKUP($D61,Sheet1!$A$34:$K$48,8,FALSE),VLOOKUP($D61,Sheet1!$A$34:$K$48,2,FALSE))))*0.85,2)</f>
        <v>2.4300000000000002</v>
      </c>
      <c r="G61" s="187">
        <f t="shared" si="58"/>
        <v>2.86</v>
      </c>
      <c r="H61" s="188" t="s">
        <v>122</v>
      </c>
      <c r="I61" s="187">
        <f>I60-G61</f>
        <v>7.1400000000000006</v>
      </c>
      <c r="J61" s="188"/>
      <c r="K61" s="187">
        <f t="shared" si="64"/>
        <v>-0.67999999999999972</v>
      </c>
      <c r="L61" s="187">
        <f t="shared" si="48"/>
        <v>-4.46</v>
      </c>
      <c r="M61" s="188"/>
      <c r="N61" s="187"/>
      <c r="O61" s="187">
        <f t="shared" si="50"/>
        <v>44.249999999999865</v>
      </c>
      <c r="P61" s="188"/>
      <c r="Q61" s="187"/>
      <c r="R61" s="187">
        <f t="shared" si="66"/>
        <v>1.2599999999999976</v>
      </c>
      <c r="S61" s="188"/>
      <c r="T61" s="187"/>
      <c r="U61" s="189">
        <f t="shared" si="61"/>
        <v>41.759999999999948</v>
      </c>
      <c r="V61" s="209">
        <f>IF(H60="AFIII",VLOOKUP(D61,Sheet1!$A$4:$H$18,5,FALSE),IF(H60="UBIII",VLOOKUP(D61,Sheet1!$A$4:$H$18,8,FALSE),IF(H60="",VLOOKUP(D61,Sheet1!$A$4:$H$18,2,FALSE),"0")))</f>
        <v>1060</v>
      </c>
      <c r="W61" s="209">
        <f t="shared" si="53"/>
        <v>7033</v>
      </c>
      <c r="X61" s="210">
        <f t="shared" si="54"/>
        <v>7433</v>
      </c>
      <c r="Y61" s="190" t="str">
        <f t="shared" si="55"/>
        <v>SUCCESS</v>
      </c>
      <c r="Z61" s="190" t="str">
        <f t="shared" si="56"/>
        <v>ERROR</v>
      </c>
      <c r="AA61" s="185">
        <f t="shared" si="35"/>
        <v>155.78159955257263</v>
      </c>
    </row>
    <row r="62" spans="1:27">
      <c r="A62" s="112">
        <f>ROUNDDOWN(IF(N61-G62&gt;0,(IF(H61="AFIII",VLOOKUP(D62,Sheet1!$K$4:$S$19,5,FALSE),IF(H61="UBIII",VLOOKUP(D62,Sheet1!$K$4:$S$19,8,FALSE),VLOOKUP(D62,Sheet1!$K$4:$S$19,2,FALSE)))*1.2),IF(H61="AFIII",VLOOKUP(D62,Sheet1!$K$4:$S$19,5,FALSE),IF(H61="UBIII",VLOOKUP(D62,Sheet1!$K$4:$S$19,8,FALSE),VLOOKUP(D62,Sheet1!$K$4:$S$19,2,FALSE)))),0)</f>
        <v>168</v>
      </c>
      <c r="B62" s="113">
        <f t="shared" si="45"/>
        <v>22451</v>
      </c>
      <c r="C62" s="118">
        <f t="shared" si="46"/>
        <v>145.43000000000006</v>
      </c>
      <c r="D62" s="181" t="s">
        <v>4</v>
      </c>
      <c r="E62" s="182">
        <f>IF(H61="AFIII",VLOOKUP($D62,Sheet1!$A$34:$K$48,5,FALSE),IF(H61="UBIII",VLOOKUP($D62,Sheet1!$A$34:$K$48,8,FALSE),VLOOKUP($D62,Sheet1!$A$34:$K$48,2,FALSE)))</f>
        <v>1.67</v>
      </c>
      <c r="F62" s="182">
        <f>ROUNDDOWN((IF(H61="AFIII",VLOOKUP($D62,Sheet1!$A$34:$K$48,5,FALSE),IF(H61="UBIII",VLOOKUP($D62,Sheet1!$A$34:$K$48,8,FALSE),VLOOKUP($D62,Sheet1!$A$34:$K$48,2,FALSE))))*0.85,2)</f>
        <v>1.41</v>
      </c>
      <c r="G62" s="182">
        <f t="shared" si="58"/>
        <v>2.39</v>
      </c>
      <c r="H62" s="183" t="s">
        <v>84</v>
      </c>
      <c r="I62" s="182">
        <v>10</v>
      </c>
      <c r="J62" s="183" t="s">
        <v>105</v>
      </c>
      <c r="K62" s="182">
        <v>30</v>
      </c>
      <c r="L62" s="182">
        <v>60</v>
      </c>
      <c r="O62" s="182">
        <f t="shared" si="50"/>
        <v>41.859999999999864</v>
      </c>
      <c r="R62" s="182">
        <f t="shared" si="66"/>
        <v>-1.1300000000000026</v>
      </c>
      <c r="U62" s="184">
        <f t="shared" si="61"/>
        <v>39.369999999999948</v>
      </c>
      <c r="V62" s="201">
        <f>IF(H61="AFIII",VLOOKUP(D62,Sheet1!$A$4:$H$18,5,FALSE),IF(H61="UBIII",VLOOKUP(D62,Sheet1!$A$4:$H$18,8,FALSE),IF(H61="",VLOOKUP(D62,Sheet1!$A$4:$H$18,2,FALSE),"0")))</f>
        <v>442</v>
      </c>
      <c r="W62" s="201">
        <f t="shared" si="53"/>
        <v>7033</v>
      </c>
      <c r="X62" s="208">
        <f t="shared" si="54"/>
        <v>10917</v>
      </c>
      <c r="Y62" s="171" t="str">
        <f t="shared" si="55"/>
        <v>SUCCESS</v>
      </c>
      <c r="Z62" s="171" t="str">
        <f t="shared" si="56"/>
        <v>ERROR</v>
      </c>
      <c r="AA62" s="185">
        <f t="shared" ref="AA62:AA88" si="67">B62/C62</f>
        <v>154.37667606408576</v>
      </c>
    </row>
    <row r="63" spans="1:27">
      <c r="A63" s="112">
        <f>ROUNDDOWN(IF(N62-G63&gt;0,(IF(H62="AFIII",VLOOKUP(D63,Sheet1!$K$4:$S$19,5,FALSE),IF(H62="UBIII",VLOOKUP(D63,Sheet1!$K$4:$S$19,8,FALSE),VLOOKUP(D63,Sheet1!$K$4:$S$19,2,FALSE)))*1.2),IF(H62="AFIII",VLOOKUP(D63,Sheet1!$K$4:$S$19,5,FALSE),IF(H62="UBIII",VLOOKUP(D63,Sheet1!$K$4:$S$19,8,FALSE),VLOOKUP(D63,Sheet1!$K$4:$S$19,2,FALSE)))),0)</f>
        <v>504</v>
      </c>
      <c r="B63" s="113">
        <f t="shared" si="45"/>
        <v>22955</v>
      </c>
      <c r="C63" s="118">
        <f t="shared" si="46"/>
        <v>148.29000000000008</v>
      </c>
      <c r="D63" s="181" t="s">
        <v>6</v>
      </c>
      <c r="E63" s="182">
        <f>IF(H62="AFIII",VLOOKUP($D63,Sheet1!$A$34:$K$48,5,FALSE),IF(H62="UBIII",VLOOKUP($D63,Sheet1!$A$34:$K$48,8,FALSE),VLOOKUP($D63,Sheet1!$A$34:$K$48,2,FALSE)))</f>
        <v>2.86</v>
      </c>
      <c r="F63" s="182">
        <f>ROUNDDOWN((IF(H62="AFIII",VLOOKUP($D63,Sheet1!$A$34:$K$48,5,FALSE),IF(H62="UBIII",VLOOKUP($D63,Sheet1!$A$34:$K$48,8,FALSE),VLOOKUP($D63,Sheet1!$A$34:$K$48,2,FALSE))))*0.85,2)</f>
        <v>2.4300000000000002</v>
      </c>
      <c r="G63" s="182">
        <f>IF(M62="迅速",IF(S62="黒魔紋",$F$1,$E$1),IF(S62="黒魔紋",IF(F63&lt;$F$1,$F$1,F63),IF(E63&lt;$E$1,$E$1,E63)))</f>
        <v>2.86</v>
      </c>
      <c r="H63" s="183" t="s">
        <v>84</v>
      </c>
      <c r="I63" s="182">
        <f>I62-G63</f>
        <v>7.1400000000000006</v>
      </c>
      <c r="K63" s="182">
        <f>K62-G63</f>
        <v>27.14</v>
      </c>
      <c r="L63" s="182">
        <f>L62-G63</f>
        <v>57.14</v>
      </c>
      <c r="N63" s="182">
        <v>20</v>
      </c>
      <c r="O63" s="182">
        <f t="shared" si="50"/>
        <v>38.999999999999865</v>
      </c>
      <c r="U63" s="184">
        <f t="shared" si="61"/>
        <v>36.509999999999948</v>
      </c>
      <c r="V63" s="201">
        <f>IF(H62="AFIII",VLOOKUP(D63,Sheet1!$A$4:$H$18,5,FALSE),IF(H62="UBIII",VLOOKUP(D63,Sheet1!$A$4:$H$18,8,FALSE),IF(H62="",VLOOKUP(D63,Sheet1!$A$4:$H$18,2,FALSE),"0")))</f>
        <v>1768</v>
      </c>
      <c r="W63" s="201">
        <f t="shared" si="53"/>
        <v>0</v>
      </c>
      <c r="X63" s="208">
        <f t="shared" si="54"/>
        <v>9149</v>
      </c>
      <c r="Y63" s="171" t="str">
        <f t="shared" si="55"/>
        <v>SUCCESS</v>
      </c>
      <c r="Z63" s="171" t="str">
        <f t="shared" si="56"/>
        <v>SUCCESS</v>
      </c>
      <c r="AA63" s="185">
        <f t="shared" si="67"/>
        <v>154.79803088542712</v>
      </c>
    </row>
    <row r="64" spans="1:27">
      <c r="A64" s="112">
        <f>ROUNDDOWN(IF(N63-G64&gt;0,(IF(H63="AFIII",VLOOKUP(D64,Sheet1!$K$4:$S$19,5,FALSE),IF(H63="UBIII",VLOOKUP(D64,Sheet1!$K$4:$S$19,8,FALSE),VLOOKUP(D64,Sheet1!$K$4:$S$19,2,FALSE)))*1.2),IF(H63="AFIII",VLOOKUP(D64,Sheet1!$K$4:$S$19,5,FALSE),IF(H63="UBIII",VLOOKUP(D64,Sheet1!$K$4:$S$19,8,FALSE),VLOOKUP(D64,Sheet1!$K$4:$S$19,2,FALSE)))),0)</f>
        <v>604</v>
      </c>
      <c r="B64" s="113">
        <f t="shared" si="45"/>
        <v>23559</v>
      </c>
      <c r="C64" s="118">
        <f t="shared" si="46"/>
        <v>151.15000000000009</v>
      </c>
      <c r="D64" s="181" t="s">
        <v>6</v>
      </c>
      <c r="E64" s="182">
        <f>IF(H63="AFIII",VLOOKUP($D64,Sheet1!$A$34:$K$48,5,FALSE),IF(H63="UBIII",VLOOKUP($D64,Sheet1!$A$34:$K$48,8,FALSE),VLOOKUP($D64,Sheet1!$A$34:$K$48,2,FALSE)))</f>
        <v>2.86</v>
      </c>
      <c r="F64" s="182">
        <f>ROUNDDOWN((IF(H63="AFIII",VLOOKUP($D64,Sheet1!$A$34:$K$48,5,FALSE),IF(H63="UBIII",VLOOKUP($D64,Sheet1!$A$34:$K$48,8,FALSE),VLOOKUP($D64,Sheet1!$A$34:$K$48,2,FALSE))))*0.85,2)</f>
        <v>2.4300000000000002</v>
      </c>
      <c r="G64" s="182">
        <f t="shared" ref="G64:G76" si="68">IF(M63="迅速",IF(S63="黒魔紋",$F$1,$E$1),IF(S63="黒魔紋",IF(F64&lt;$F$1,$F$1,F64),IF(E64&lt;$E$1,$E$1,E64)))</f>
        <v>2.86</v>
      </c>
      <c r="H64" s="183" t="s">
        <v>84</v>
      </c>
      <c r="I64" s="182">
        <f t="shared" ref="I64" si="69">I63-G64</f>
        <v>4.2800000000000011</v>
      </c>
      <c r="K64" s="182">
        <f t="shared" ref="K64:K65" si="70">K63-G64</f>
        <v>24.28</v>
      </c>
      <c r="L64" s="182">
        <f t="shared" ref="L64:L65" si="71">L63-G64</f>
        <v>54.28</v>
      </c>
      <c r="N64" s="182">
        <f>N63-G64</f>
        <v>17.14</v>
      </c>
      <c r="O64" s="182">
        <f t="shared" si="50"/>
        <v>36.139999999999866</v>
      </c>
      <c r="P64" s="183" t="s">
        <v>131</v>
      </c>
      <c r="R64" s="182">
        <v>60</v>
      </c>
      <c r="U64" s="184">
        <f t="shared" si="61"/>
        <v>33.649999999999949</v>
      </c>
      <c r="V64" s="201">
        <f>IF(H63="AFIII",VLOOKUP(D64,Sheet1!$A$4:$H$18,5,FALSE),IF(H63="UBIII",VLOOKUP(D64,Sheet1!$A$4:$H$18,8,FALSE),IF(H63="",VLOOKUP(D64,Sheet1!$A$4:$H$18,2,FALSE),"0")))</f>
        <v>1768</v>
      </c>
      <c r="W64" s="201">
        <f t="shared" si="53"/>
        <v>0</v>
      </c>
      <c r="X64" s="208">
        <f t="shared" si="54"/>
        <v>7381</v>
      </c>
      <c r="Y64" s="171" t="str">
        <f t="shared" si="55"/>
        <v>SUCCESS</v>
      </c>
      <c r="Z64" s="171" t="str">
        <f t="shared" si="56"/>
        <v>SUCCESS</v>
      </c>
      <c r="AA64" s="185">
        <f t="shared" si="67"/>
        <v>155.86503473370814</v>
      </c>
    </row>
    <row r="65" spans="1:27">
      <c r="A65" s="112">
        <f>ROUNDDOWN(IF(N64-G65&gt;0,(IF(H64="AFIII",VLOOKUP(D65,Sheet1!$K$4:$S$19,5,FALSE),IF(H64="UBIII",VLOOKUP(D65,Sheet1!$K$4:$S$19,8,FALSE),VLOOKUP(D65,Sheet1!$K$4:$S$19,2,FALSE)))*1.2),IF(H64="AFIII",VLOOKUP(D65,Sheet1!$K$4:$S$19,5,FALSE),IF(H64="UBIII",VLOOKUP(D65,Sheet1!$K$4:$S$19,8,FALSE),VLOOKUP(D65,Sheet1!$K$4:$S$19,2,FALSE)))),0)</f>
        <v>388</v>
      </c>
      <c r="B65" s="113">
        <f t="shared" si="45"/>
        <v>23947</v>
      </c>
      <c r="C65" s="118">
        <f t="shared" si="46"/>
        <v>153.54000000000008</v>
      </c>
      <c r="D65" s="181" t="s">
        <v>1</v>
      </c>
      <c r="E65" s="182">
        <f>IF(H64="AFIII",VLOOKUP($D65,Sheet1!$A$34:$K$48,5,FALSE),IF(H64="UBIII",VLOOKUP($D65,Sheet1!$A$34:$K$48,8,FALSE),VLOOKUP($D65,Sheet1!$A$34:$K$48,2,FALSE)))</f>
        <v>2.39</v>
      </c>
      <c r="F65" s="182">
        <f>ROUNDDOWN((IF(H64="AFIII",VLOOKUP($D65,Sheet1!$A$34:$K$48,5,FALSE),IF(H64="UBIII",VLOOKUP($D65,Sheet1!$A$34:$K$48,8,FALSE),VLOOKUP($D65,Sheet1!$A$34:$K$48,2,FALSE))))*0.85,2)</f>
        <v>2.0299999999999998</v>
      </c>
      <c r="G65" s="182">
        <f t="shared" si="68"/>
        <v>2.39</v>
      </c>
      <c r="H65" s="183" t="s">
        <v>84</v>
      </c>
      <c r="I65" s="182">
        <v>10</v>
      </c>
      <c r="K65" s="182">
        <f t="shared" si="70"/>
        <v>21.89</v>
      </c>
      <c r="L65" s="182">
        <f t="shared" si="71"/>
        <v>51.89</v>
      </c>
      <c r="N65" s="182">
        <f t="shared" ref="N65" si="72">N64-G65</f>
        <v>14.75</v>
      </c>
      <c r="O65" s="182">
        <f t="shared" si="50"/>
        <v>33.749999999999865</v>
      </c>
      <c r="R65" s="182">
        <f t="shared" ref="R65:R67" si="73">R64-G65</f>
        <v>57.61</v>
      </c>
      <c r="U65" s="184">
        <f t="shared" si="61"/>
        <v>31.259999999999948</v>
      </c>
      <c r="V65" s="201">
        <f>IF(H64="AFIII",VLOOKUP(D65,Sheet1!$A$4:$H$18,5,FALSE),IF(H64="UBIII",VLOOKUP(D65,Sheet1!$A$4:$H$18,8,FALSE),IF(H64="",VLOOKUP(D65,Sheet1!$A$4:$H$18,2,FALSE),"0")))</f>
        <v>2120</v>
      </c>
      <c r="W65" s="201">
        <f t="shared" si="53"/>
        <v>0</v>
      </c>
      <c r="X65" s="208">
        <f t="shared" si="54"/>
        <v>5261</v>
      </c>
      <c r="Y65" s="171" t="str">
        <f t="shared" si="55"/>
        <v>SUCCESS</v>
      </c>
      <c r="Z65" s="171" t="str">
        <f t="shared" si="56"/>
        <v>SUCCESS</v>
      </c>
      <c r="AA65" s="185">
        <f t="shared" si="67"/>
        <v>155.96587208544997</v>
      </c>
    </row>
    <row r="66" spans="1:27">
      <c r="A66" s="112">
        <f>ROUNDDOWN(IF(N65-G66&gt;0,(IF(H65="AFIII",VLOOKUP(D66,Sheet1!$K$4:$S$19,5,FALSE),IF(H65="UBIII",VLOOKUP(D66,Sheet1!$K$4:$S$19,8,FALSE),VLOOKUP(D66,Sheet1!$K$4:$S$19,2,FALSE)))*1.2),IF(H65="AFIII",VLOOKUP(D66,Sheet1!$K$4:$S$19,5,FALSE),IF(H65="UBIII",VLOOKUP(D66,Sheet1!$K$4:$S$19,8,FALSE),VLOOKUP(D66,Sheet1!$K$4:$S$19,2,FALSE)))),0)</f>
        <v>604</v>
      </c>
      <c r="B66" s="113">
        <f t="shared" si="45"/>
        <v>24551</v>
      </c>
      <c r="C66" s="118">
        <f t="shared" si="46"/>
        <v>156.40000000000009</v>
      </c>
      <c r="D66" s="181" t="s">
        <v>6</v>
      </c>
      <c r="E66" s="182">
        <f>IF(H65="AFIII",VLOOKUP($D66,Sheet1!$A$34:$K$48,5,FALSE),IF(H65="UBIII",VLOOKUP($D66,Sheet1!$A$34:$K$48,8,FALSE),VLOOKUP($D66,Sheet1!$A$34:$K$48,2,FALSE)))</f>
        <v>2.86</v>
      </c>
      <c r="F66" s="182">
        <f>ROUNDDOWN((IF(H65="AFIII",VLOOKUP($D66,Sheet1!$A$34:$K$48,5,FALSE),IF(H65="UBIII",VLOOKUP($D66,Sheet1!$A$34:$K$48,8,FALSE),VLOOKUP($D66,Sheet1!$A$34:$K$48,2,FALSE))))*0.85,2)</f>
        <v>2.4300000000000002</v>
      </c>
      <c r="G66" s="182">
        <f t="shared" si="68"/>
        <v>2.86</v>
      </c>
      <c r="H66" s="183" t="s">
        <v>84</v>
      </c>
      <c r="I66" s="182">
        <f>I65-G66</f>
        <v>7.1400000000000006</v>
      </c>
      <c r="K66" s="182">
        <f>K65-G66</f>
        <v>19.03</v>
      </c>
      <c r="L66" s="182">
        <f>L65-G66</f>
        <v>49.03</v>
      </c>
      <c r="N66" s="182">
        <f>N65-G66</f>
        <v>11.89</v>
      </c>
      <c r="O66" s="182">
        <f t="shared" si="50"/>
        <v>30.889999999999866</v>
      </c>
      <c r="R66" s="182">
        <f t="shared" si="73"/>
        <v>54.75</v>
      </c>
      <c r="U66" s="184">
        <f t="shared" si="61"/>
        <v>28.399999999999949</v>
      </c>
      <c r="V66" s="201">
        <f>IF(H65="AFIII",VLOOKUP(D66,Sheet1!$A$4:$H$18,5,FALSE),IF(H65="UBIII",VLOOKUP(D66,Sheet1!$A$4:$H$18,8,FALSE),IF(H65="",VLOOKUP(D66,Sheet1!$A$4:$H$18,2,FALSE),"0")))</f>
        <v>1768</v>
      </c>
      <c r="W66" s="201">
        <f t="shared" si="53"/>
        <v>0</v>
      </c>
      <c r="X66" s="208">
        <f t="shared" si="54"/>
        <v>3493</v>
      </c>
      <c r="Y66" s="171" t="str">
        <f t="shared" si="55"/>
        <v>SUCCESS</v>
      </c>
      <c r="Z66" s="171" t="str">
        <f t="shared" si="56"/>
        <v>SUCCESS</v>
      </c>
      <c r="AA66" s="185">
        <f t="shared" si="67"/>
        <v>156.97570332480808</v>
      </c>
    </row>
    <row r="67" spans="1:27">
      <c r="A67" s="112">
        <f>ROUNDDOWN(IF(N66-G67&gt;0,(IF(H66="AFIII",VLOOKUP(D67,Sheet1!$K$4:$S$19,5,FALSE),IF(H66="UBIII",VLOOKUP(D67,Sheet1!$K$4:$S$19,8,FALSE),VLOOKUP(D67,Sheet1!$K$4:$S$19,2,FALSE)))*1.2),IF(H66="AFIII",VLOOKUP(D67,Sheet1!$K$4:$S$19,5,FALSE),IF(H66="UBIII",VLOOKUP(D67,Sheet1!$K$4:$S$19,8,FALSE),VLOOKUP(D67,Sheet1!$K$4:$S$19,2,FALSE)))),0)</f>
        <v>604</v>
      </c>
      <c r="B67" s="113">
        <f t="shared" si="45"/>
        <v>25155</v>
      </c>
      <c r="C67" s="118">
        <f t="shared" si="46"/>
        <v>159.2600000000001</v>
      </c>
      <c r="D67" s="181" t="s">
        <v>6</v>
      </c>
      <c r="E67" s="182">
        <f>IF(H66="AFIII",VLOOKUP($D67,Sheet1!$A$34:$K$48,5,FALSE),IF(H66="UBIII",VLOOKUP($D67,Sheet1!$A$34:$K$48,8,FALSE),VLOOKUP($D67,Sheet1!$A$34:$K$48,2,FALSE)))</f>
        <v>2.86</v>
      </c>
      <c r="F67" s="182">
        <f>ROUNDDOWN((IF(H66="AFIII",VLOOKUP($D67,Sheet1!$A$34:$K$48,5,FALSE),IF(H66="UBIII",VLOOKUP($D67,Sheet1!$A$34:$K$48,8,FALSE),VLOOKUP($D67,Sheet1!$A$34:$K$48,2,FALSE))))*0.85,2)</f>
        <v>2.4300000000000002</v>
      </c>
      <c r="G67" s="182">
        <f t="shared" si="68"/>
        <v>2.86</v>
      </c>
      <c r="H67" s="183" t="s">
        <v>84</v>
      </c>
      <c r="I67" s="182">
        <f>I66-G67</f>
        <v>4.2800000000000011</v>
      </c>
      <c r="K67" s="182">
        <f t="shared" ref="K67:K70" si="74">K66-G67</f>
        <v>16.170000000000002</v>
      </c>
      <c r="L67" s="182">
        <f t="shared" ref="L67:L88" si="75">L66-G67</f>
        <v>46.17</v>
      </c>
      <c r="N67" s="182">
        <f t="shared" ref="N67:N70" si="76">N66-G67</f>
        <v>9.0300000000000011</v>
      </c>
      <c r="O67" s="182">
        <f t="shared" si="50"/>
        <v>28.029999999999866</v>
      </c>
      <c r="R67" s="182">
        <f t="shared" si="73"/>
        <v>51.89</v>
      </c>
      <c r="U67" s="184">
        <f t="shared" si="61"/>
        <v>25.539999999999949</v>
      </c>
      <c r="V67" s="201">
        <f>IF(H66="AFIII",VLOOKUP(D67,Sheet1!$A$4:$H$18,5,FALSE),IF(H66="UBIII",VLOOKUP(D67,Sheet1!$A$4:$H$18,8,FALSE),IF(H66="",VLOOKUP(D67,Sheet1!$A$4:$H$18,2,FALSE),"0")))</f>
        <v>1768</v>
      </c>
      <c r="W67" s="201">
        <f t="shared" si="53"/>
        <v>0</v>
      </c>
      <c r="X67" s="208">
        <f t="shared" si="54"/>
        <v>1725</v>
      </c>
      <c r="Y67" s="171" t="str">
        <f t="shared" si="55"/>
        <v>SUCCESS</v>
      </c>
      <c r="Z67" s="171" t="str">
        <f t="shared" si="56"/>
        <v>SUCCESS</v>
      </c>
      <c r="AA67" s="185">
        <f t="shared" si="67"/>
        <v>157.94926535225406</v>
      </c>
    </row>
    <row r="68" spans="1:27">
      <c r="A68" s="112">
        <f>ROUNDDOWN(IF(N67-G68&gt;0,(IF(H67="AFIII",VLOOKUP(D68,Sheet1!$K$4:$S$19,5,FALSE),IF(H67="UBIII",VLOOKUP(D68,Sheet1!$K$4:$S$19,8,FALSE),VLOOKUP(D68,Sheet1!$K$4:$S$19,2,FALSE)))*1.2),IF(H67="AFIII",VLOOKUP(D68,Sheet1!$K$4:$S$19,5,FALSE),IF(H67="UBIII",VLOOKUP(D68,Sheet1!$K$4:$S$19,8,FALSE),VLOOKUP(D68,Sheet1!$K$4:$S$19,2,FALSE)))),0)</f>
        <v>518</v>
      </c>
      <c r="B68" s="113">
        <f t="shared" si="45"/>
        <v>25673</v>
      </c>
      <c r="C68" s="118">
        <f>C67+G68</f>
        <v>161.65000000000009</v>
      </c>
      <c r="D68" s="181" t="s">
        <v>129</v>
      </c>
      <c r="E68" s="182">
        <f>IF(H67="AFIII",VLOOKUP($D68,Sheet1!$A$34:$K$48,5,FALSE),IF(H67="UBIII",VLOOKUP($D68,Sheet1!$A$34:$K$48,8,FALSE),VLOOKUP($D68,Sheet1!$A$34:$K$48,2,FALSE)))</f>
        <v>2.39</v>
      </c>
      <c r="F68" s="182">
        <f>ROUNDDOWN((IF(H67="AFIII",VLOOKUP($D68,Sheet1!$A$34:$K$48,5,FALSE),IF(H67="UBIII",VLOOKUP($D68,Sheet1!$A$34:$K$48,8,FALSE),VLOOKUP($D68,Sheet1!$A$34:$K$48,2,FALSE))))*0.85,2)</f>
        <v>2.0299999999999998</v>
      </c>
      <c r="G68" s="182">
        <f t="shared" si="68"/>
        <v>2.39</v>
      </c>
      <c r="H68" s="183" t="s">
        <v>84</v>
      </c>
      <c r="I68" s="182">
        <v>10</v>
      </c>
      <c r="K68" s="182">
        <f t="shared" si="74"/>
        <v>13.780000000000001</v>
      </c>
      <c r="L68" s="182">
        <f t="shared" si="75"/>
        <v>43.78</v>
      </c>
      <c r="N68" s="182">
        <f t="shared" si="76"/>
        <v>6.6400000000000006</v>
      </c>
      <c r="O68" s="182">
        <f t="shared" si="50"/>
        <v>25.639999999999866</v>
      </c>
      <c r="R68" s="182">
        <f>R67-G68</f>
        <v>49.5</v>
      </c>
      <c r="U68" s="184">
        <f t="shared" si="61"/>
        <v>23.149999999999949</v>
      </c>
      <c r="V68" s="201">
        <f>IF(H67="AFIII",VLOOKUP(D68,Sheet1!$A$4:$H$18,5,FALSE),IF(H67="UBIII",VLOOKUP(D68,Sheet1!$A$4:$H$18,8,FALSE),IF(H67="",VLOOKUP(D68,Sheet1!$A$4:$H$18,2,FALSE),"0")))</f>
        <v>0</v>
      </c>
      <c r="W68" s="201">
        <f t="shared" si="53"/>
        <v>0</v>
      </c>
      <c r="X68" s="208">
        <f>IF(M68="コンバート",(IF(D68="フレア",0,IF(X67-V68+W68&gt;$X$3,$X$3-V68,X67-V68+W68)))+$X$1,IF(D68="フレア",0,IF(X67-V68+W68&gt;$X$3,$X$3-V68,X67-V68+W68)))</f>
        <v>1725</v>
      </c>
      <c r="Y68" s="171" t="str">
        <f t="shared" si="55"/>
        <v>SUCCESS</v>
      </c>
      <c r="Z68" s="171" t="str">
        <f t="shared" si="56"/>
        <v>SUCCESS</v>
      </c>
      <c r="AA68" s="185">
        <f t="shared" si="67"/>
        <v>158.81843489019477</v>
      </c>
    </row>
    <row r="69" spans="1:27">
      <c r="A69" s="112">
        <f>ROUNDDOWN(IF(N68-G69&gt;0,(IF(H68="AFIII",VLOOKUP(D69,Sheet1!$K$4:$S$19,5,FALSE),IF(H68="UBIII",VLOOKUP(D69,Sheet1!$K$4:$S$19,8,FALSE),VLOOKUP(D69,Sheet1!$K$4:$S$19,2,FALSE)))*1.2),IF(H68="AFIII",VLOOKUP(D69,Sheet1!$K$4:$S$19,5,FALSE),IF(H68="UBIII",VLOOKUP(D69,Sheet1!$K$4:$S$19,8,FALSE),VLOOKUP(D69,Sheet1!$K$4:$S$19,2,FALSE)))),0)</f>
        <v>201</v>
      </c>
      <c r="B69" s="113">
        <f t="shared" ref="B69:B132" si="77">B68+A69</f>
        <v>25874</v>
      </c>
      <c r="C69" s="118">
        <f t="shared" ref="C69:C95" si="78">C68+G69</f>
        <v>164.04000000000008</v>
      </c>
      <c r="D69" s="181" t="s">
        <v>12</v>
      </c>
      <c r="E69" s="182">
        <f>IF(H68="AFIII",VLOOKUP($D69,Sheet1!$A$34:$K$48,5,FALSE),IF(H68="UBIII",VLOOKUP($D69,Sheet1!$A$34:$K$48,8,FALSE),VLOOKUP($D69,Sheet1!$A$34:$K$48,2,FALSE)))</f>
        <v>1.67</v>
      </c>
      <c r="F69" s="182">
        <f>ROUNDDOWN((IF(H68="AFIII",VLOOKUP($D69,Sheet1!$A$34:$K$48,5,FALSE),IF(H68="UBIII",VLOOKUP($D69,Sheet1!$A$34:$K$48,8,FALSE),VLOOKUP($D69,Sheet1!$A$34:$K$48,2,FALSE))))*0.85,2)</f>
        <v>1.41</v>
      </c>
      <c r="G69" s="182">
        <f>IF(M68="迅速",IF(S68="黒魔紋",$F$1,$E$1),IF(S68="黒魔紋",IF(F69&lt;$F$1,$F$1,F69),IF(E69&lt;$E$1,$E$1,E69)))</f>
        <v>2.39</v>
      </c>
      <c r="H69" s="183" t="s">
        <v>122</v>
      </c>
      <c r="I69" s="182">
        <v>10</v>
      </c>
      <c r="K69" s="182">
        <f t="shared" si="74"/>
        <v>11.39</v>
      </c>
      <c r="L69" s="182">
        <f t="shared" si="75"/>
        <v>41.39</v>
      </c>
      <c r="N69" s="182">
        <f t="shared" si="76"/>
        <v>4.25</v>
      </c>
      <c r="O69" s="182">
        <f t="shared" ref="O69:O88" si="79">O68-G69</f>
        <v>23.249999999999865</v>
      </c>
      <c r="R69" s="182">
        <f t="shared" ref="R69:R83" si="80">R68-G69</f>
        <v>47.11</v>
      </c>
      <c r="U69" s="184">
        <f t="shared" ref="U69:U88" si="81">U68-G69</f>
        <v>20.759999999999948</v>
      </c>
      <c r="V69" s="201">
        <f>IF(H68="AFIII",VLOOKUP(D69,Sheet1!$A$4:$H$18,5,FALSE),IF(H68="UBIII",VLOOKUP(D69,Sheet1!$A$4:$H$18,8,FALSE),IF(H68="",VLOOKUP(D69,Sheet1!$A$4:$H$18,2,FALSE),"0")))</f>
        <v>265</v>
      </c>
      <c r="W69" s="201">
        <f t="shared" ref="W69:W132" si="82">IF(H68="UBIII",$X$2,0)</f>
        <v>0</v>
      </c>
      <c r="X69" s="208">
        <f t="shared" ref="X69:X95" si="83">IF(M69="コンバート",(IF(D69="フレア",0,IF(X68-V69+W69&gt;$X$3,$X$3-V69,X68-V69+W69)))+$X$1,IF(D69="フレア",0,IF(X68-V69+W69&gt;$X$3,$X$3-V69,X68-V69+W69)))</f>
        <v>1460</v>
      </c>
      <c r="Y69" s="171" t="str">
        <f t="shared" ref="Y69:Y132" si="84">IF(X68-V69&lt;0,"ERROR","SUCCESS")</f>
        <v>SUCCESS</v>
      </c>
      <c r="Z69" s="171" t="str">
        <f t="shared" ref="Z69:Z132" si="85">IF(K68-G69&lt;0,"ERROR","SUCCESS")</f>
        <v>SUCCESS</v>
      </c>
      <c r="AA69" s="185">
        <f t="shared" si="67"/>
        <v>157.72982199463539</v>
      </c>
    </row>
    <row r="70" spans="1:27">
      <c r="A70" s="112">
        <f>ROUNDDOWN(IF(N69-G70&gt;0,(IF(H69="AFIII",VLOOKUP(D70,Sheet1!$K$4:$S$19,5,FALSE),IF(H69="UBIII",VLOOKUP(D70,Sheet1!$K$4:$S$19,8,FALSE),VLOOKUP(D70,Sheet1!$K$4:$S$19,2,FALSE)))*1.2),IF(H69="AFIII",VLOOKUP(D70,Sheet1!$K$4:$S$19,5,FALSE),IF(H69="UBIII",VLOOKUP(D70,Sheet1!$K$4:$S$19,8,FALSE),VLOOKUP(D70,Sheet1!$K$4:$S$19,2,FALSE)))),0)</f>
        <v>354</v>
      </c>
      <c r="B70" s="113">
        <f t="shared" si="77"/>
        <v>26228</v>
      </c>
      <c r="C70" s="118">
        <f t="shared" si="78"/>
        <v>166.90000000000009</v>
      </c>
      <c r="D70" s="181" t="s">
        <v>19</v>
      </c>
      <c r="E70" s="182">
        <f>IF(H69="AFIII",VLOOKUP($D70,Sheet1!$A$34:$K$48,5,FALSE),IF(H69="UBIII",VLOOKUP($D70,Sheet1!$A$34:$K$48,8,FALSE),VLOOKUP($D70,Sheet1!$A$34:$K$48,2,FALSE)))</f>
        <v>2.86</v>
      </c>
      <c r="F70" s="182">
        <f>ROUNDDOWN((IF(H69="AFIII",VLOOKUP($D70,Sheet1!$A$34:$K$48,5,FALSE),IF(H69="UBIII",VLOOKUP($D70,Sheet1!$A$34:$K$48,8,FALSE),VLOOKUP($D70,Sheet1!$A$34:$K$48,2,FALSE))))*0.85,2)</f>
        <v>2.4300000000000002</v>
      </c>
      <c r="G70" s="182">
        <f>IF(M69="迅速",IF(S69="黒魔紋",$F$1,$E$1),IF(S69="黒魔紋",IF(F70&lt;$F$1,$F$1,F70),IF(E70&lt;$E$1,$E$1,E70)))</f>
        <v>2.86</v>
      </c>
      <c r="H70" s="183" t="s">
        <v>122</v>
      </c>
      <c r="I70" s="182">
        <f t="shared" ref="I70:I71" si="86">I69-G70</f>
        <v>7.1400000000000006</v>
      </c>
      <c r="K70" s="182">
        <f t="shared" si="74"/>
        <v>8.5300000000000011</v>
      </c>
      <c r="L70" s="182">
        <f t="shared" si="75"/>
        <v>38.53</v>
      </c>
      <c r="N70" s="182">
        <f t="shared" si="76"/>
        <v>1.3900000000000001</v>
      </c>
      <c r="O70" s="182">
        <f t="shared" si="79"/>
        <v>20.389999999999866</v>
      </c>
      <c r="P70" s="183" t="s">
        <v>17</v>
      </c>
      <c r="Q70" s="182">
        <v>21</v>
      </c>
      <c r="R70" s="182">
        <f t="shared" si="80"/>
        <v>44.25</v>
      </c>
      <c r="U70" s="184">
        <f t="shared" si="81"/>
        <v>17.899999999999949</v>
      </c>
      <c r="V70" s="201">
        <f>IF(H69="AFIII",VLOOKUP(D70,Sheet1!$A$4:$H$18,5,FALSE),IF(H69="UBIII",VLOOKUP(D70,Sheet1!$A$4:$H$18,8,FALSE),IF(H69="",VLOOKUP(D70,Sheet1!$A$4:$H$18,2,FALSE),"0")))</f>
        <v>1060</v>
      </c>
      <c r="W70" s="201">
        <f t="shared" si="82"/>
        <v>7033</v>
      </c>
      <c r="X70" s="208">
        <f t="shared" si="83"/>
        <v>7433</v>
      </c>
      <c r="Y70" s="171" t="str">
        <f t="shared" si="84"/>
        <v>SUCCESS</v>
      </c>
      <c r="Z70" s="171" t="str">
        <f t="shared" si="85"/>
        <v>SUCCESS</v>
      </c>
      <c r="AA70" s="185">
        <f t="shared" si="67"/>
        <v>157.14799281006583</v>
      </c>
    </row>
    <row r="71" spans="1:27">
      <c r="A71" s="119">
        <f>ROUNDDOWN(IF(N70-G71&gt;0,(IF(H70="AFIII",VLOOKUP(D71,Sheet1!$K$4:$S$19,5,FALSE),IF(H70="UBIII",VLOOKUP(D71,Sheet1!$K$4:$S$19,8,FALSE),VLOOKUP(D71,Sheet1!$K$4:$S$19,2,FALSE)))*1.2),IF(H70="AFIII",VLOOKUP(D71,Sheet1!$K$4:$S$19,5,FALSE),IF(H70="UBIII",VLOOKUP(D71,Sheet1!$K$4:$S$19,8,FALSE),VLOOKUP(D71,Sheet1!$K$4:$S$19,2,FALSE)))),0)</f>
        <v>280</v>
      </c>
      <c r="B71" s="120">
        <f t="shared" si="77"/>
        <v>26508</v>
      </c>
      <c r="C71" s="121">
        <f t="shared" si="78"/>
        <v>169.7600000000001</v>
      </c>
      <c r="D71" s="191" t="s">
        <v>14</v>
      </c>
      <c r="E71" s="192">
        <f>IF(H70="AFIII",VLOOKUP($D71,Sheet1!$A$34:$K$48,5,FALSE),IF(H70="UBIII",VLOOKUP($D71,Sheet1!$A$34:$K$48,8,FALSE),VLOOKUP($D71,Sheet1!$A$34:$K$48,2,FALSE)))</f>
        <v>2.86</v>
      </c>
      <c r="F71" s="192">
        <f>ROUNDDOWN((IF(H70="AFIII",VLOOKUP($D71,Sheet1!$A$34:$K$48,5,FALSE),IF(H70="UBIII",VLOOKUP($D71,Sheet1!$A$34:$K$48,8,FALSE),VLOOKUP($D71,Sheet1!$A$34:$K$48,2,FALSE))))*0.85,2)</f>
        <v>2.4300000000000002</v>
      </c>
      <c r="G71" s="192">
        <f t="shared" ref="G71:G89" si="87">IF(M70="迅速",IF(S70="黒魔紋",$F$1,$E$1),IF(S70="黒魔紋",IF(F71&lt;$F$1,$F$1,F71),IF(E71&lt;$E$1,$E$1,E71)))</f>
        <v>2.86</v>
      </c>
      <c r="H71" s="193" t="s">
        <v>122</v>
      </c>
      <c r="I71" s="192">
        <f t="shared" si="86"/>
        <v>4.2800000000000011</v>
      </c>
      <c r="J71" s="193"/>
      <c r="K71" s="192">
        <v>25</v>
      </c>
      <c r="L71" s="192">
        <f t="shared" si="75"/>
        <v>35.67</v>
      </c>
      <c r="M71" s="193"/>
      <c r="N71" s="192"/>
      <c r="O71" s="192">
        <f t="shared" si="79"/>
        <v>17.529999999999866</v>
      </c>
      <c r="P71" s="193"/>
      <c r="Q71" s="192">
        <f>Q70-G71</f>
        <v>18.14</v>
      </c>
      <c r="R71" s="192">
        <f t="shared" si="80"/>
        <v>41.39</v>
      </c>
      <c r="S71" s="193"/>
      <c r="T71" s="192"/>
      <c r="U71" s="194">
        <f t="shared" si="81"/>
        <v>15.039999999999949</v>
      </c>
      <c r="V71" s="211">
        <f>IF(H70="AFIII",VLOOKUP(D71,Sheet1!$A$4:$H$18,5,FALSE),IF(H70="UBIII",VLOOKUP(D71,Sheet1!$A$4:$H$18,8,FALSE),IF(H70="",VLOOKUP(D71,Sheet1!$A$4:$H$18,2,FALSE),"0")))</f>
        <v>884</v>
      </c>
      <c r="W71" s="211">
        <f t="shared" si="82"/>
        <v>7033</v>
      </c>
      <c r="X71" s="212">
        <f t="shared" si="83"/>
        <v>10475</v>
      </c>
      <c r="Y71" s="195" t="str">
        <f t="shared" si="84"/>
        <v>SUCCESS</v>
      </c>
      <c r="Z71" s="195" t="str">
        <f t="shared" si="85"/>
        <v>SUCCESS</v>
      </c>
      <c r="AA71" s="185">
        <f t="shared" si="67"/>
        <v>156.14985862393959</v>
      </c>
    </row>
    <row r="72" spans="1:27">
      <c r="A72" s="112">
        <f>ROUNDDOWN(IF(N71-G72&gt;0,(IF(H71="AFIII",VLOOKUP(D72,Sheet1!$K$4:$S$19,5,FALSE),IF(H71="UBIII",VLOOKUP(D72,Sheet1!$K$4:$S$19,8,FALSE),VLOOKUP(D72,Sheet1!$K$4:$S$19,2,FALSE)))*1.2),IF(H71="AFIII",VLOOKUP(D72,Sheet1!$K$4:$S$19,5,FALSE),IF(H71="UBIII",VLOOKUP(D72,Sheet1!$K$4:$S$19,8,FALSE),VLOOKUP(D72,Sheet1!$K$4:$S$19,2,FALSE)))),0)</f>
        <v>168</v>
      </c>
      <c r="B72" s="113">
        <f t="shared" si="77"/>
        <v>26676</v>
      </c>
      <c r="C72" s="118">
        <f t="shared" si="78"/>
        <v>172.15000000000009</v>
      </c>
      <c r="D72" s="181" t="s">
        <v>4</v>
      </c>
      <c r="E72" s="182">
        <f>IF(H71="AFIII",VLOOKUP($D72,Sheet1!$A$34:$K$48,5,FALSE),IF(H71="UBIII",VLOOKUP($D72,Sheet1!$A$34:$K$48,8,FALSE),VLOOKUP($D72,Sheet1!$A$34:$K$48,2,FALSE)))</f>
        <v>1.67</v>
      </c>
      <c r="F72" s="182">
        <f>ROUNDDOWN((IF(H71="AFIII",VLOOKUP($D72,Sheet1!$A$34:$K$48,5,FALSE),IF(H71="UBIII",VLOOKUP($D72,Sheet1!$A$34:$K$48,8,FALSE),VLOOKUP($D72,Sheet1!$A$34:$K$48,2,FALSE))))*0.85,2)</f>
        <v>1.41</v>
      </c>
      <c r="G72" s="182">
        <f t="shared" si="87"/>
        <v>2.39</v>
      </c>
      <c r="H72" s="183" t="s">
        <v>84</v>
      </c>
      <c r="I72" s="182">
        <v>10</v>
      </c>
      <c r="K72" s="182">
        <f>K71-G72</f>
        <v>22.61</v>
      </c>
      <c r="L72" s="182">
        <f t="shared" si="75"/>
        <v>33.28</v>
      </c>
      <c r="O72" s="182">
        <f t="shared" si="79"/>
        <v>15.139999999999866</v>
      </c>
      <c r="Q72" s="182">
        <f t="shared" ref="Q72:Q78" si="88">Q71-G72</f>
        <v>15.75</v>
      </c>
      <c r="R72" s="182">
        <f t="shared" si="80"/>
        <v>39</v>
      </c>
      <c r="U72" s="184">
        <f t="shared" si="81"/>
        <v>12.649999999999949</v>
      </c>
      <c r="V72" s="201">
        <f>IF(H71="AFIII",VLOOKUP(D72,Sheet1!$A$4:$H$18,5,FALSE),IF(H71="UBIII",VLOOKUP(D72,Sheet1!$A$4:$H$18,8,FALSE),IF(H71="",VLOOKUP(D72,Sheet1!$A$4:$H$18,2,FALSE),"0")))</f>
        <v>442</v>
      </c>
      <c r="W72" s="201">
        <f t="shared" si="82"/>
        <v>7033</v>
      </c>
      <c r="X72" s="208">
        <f t="shared" si="83"/>
        <v>10917</v>
      </c>
      <c r="Y72" s="171" t="str">
        <f t="shared" si="84"/>
        <v>SUCCESS</v>
      </c>
      <c r="Z72" s="171" t="str">
        <f t="shared" si="85"/>
        <v>SUCCESS</v>
      </c>
      <c r="AA72" s="185">
        <f t="shared" si="67"/>
        <v>154.95788556491425</v>
      </c>
    </row>
    <row r="73" spans="1:27">
      <c r="A73" s="112">
        <f>ROUNDDOWN(IF(N72-G73&gt;0,(IF(H72="AFIII",VLOOKUP(D73,Sheet1!$K$4:$S$19,5,FALSE),IF(H72="UBIII",VLOOKUP(D73,Sheet1!$K$4:$S$19,8,FALSE),VLOOKUP(D73,Sheet1!$K$4:$S$19,2,FALSE)))*1.2),IF(H72="AFIII",VLOOKUP(D73,Sheet1!$K$4:$S$19,5,FALSE),IF(H72="UBIII",VLOOKUP(D73,Sheet1!$K$4:$S$19,8,FALSE),VLOOKUP(D73,Sheet1!$K$4:$S$19,2,FALSE)))),0)</f>
        <v>504</v>
      </c>
      <c r="B73" s="113">
        <f t="shared" si="77"/>
        <v>27180</v>
      </c>
      <c r="C73" s="118">
        <f t="shared" si="78"/>
        <v>175.0100000000001</v>
      </c>
      <c r="D73" s="181" t="s">
        <v>6</v>
      </c>
      <c r="E73" s="182">
        <f>IF(H72="AFIII",VLOOKUP($D73,Sheet1!$A$34:$K$48,5,FALSE),IF(H72="UBIII",VLOOKUP($D73,Sheet1!$A$34:$K$48,8,FALSE),VLOOKUP($D73,Sheet1!$A$34:$K$48,2,FALSE)))</f>
        <v>2.86</v>
      </c>
      <c r="F73" s="182">
        <f>ROUNDDOWN((IF(H72="AFIII",VLOOKUP($D73,Sheet1!$A$34:$K$48,5,FALSE),IF(H72="UBIII",VLOOKUP($D73,Sheet1!$A$34:$K$48,8,FALSE),VLOOKUP($D73,Sheet1!$A$34:$K$48,2,FALSE))))*0.85,2)</f>
        <v>2.4300000000000002</v>
      </c>
      <c r="G73" s="182">
        <f t="shared" si="87"/>
        <v>2.86</v>
      </c>
      <c r="H73" s="183" t="s">
        <v>84</v>
      </c>
      <c r="I73" s="182">
        <f>I72-G73</f>
        <v>7.1400000000000006</v>
      </c>
      <c r="K73" s="182">
        <f t="shared" ref="K73:K79" si="89">K72-G73</f>
        <v>19.75</v>
      </c>
      <c r="L73" s="182">
        <f t="shared" si="75"/>
        <v>30.42</v>
      </c>
      <c r="O73" s="182">
        <f t="shared" si="79"/>
        <v>12.279999999999866</v>
      </c>
      <c r="Q73" s="182">
        <f t="shared" si="88"/>
        <v>12.89</v>
      </c>
      <c r="R73" s="182">
        <f t="shared" si="80"/>
        <v>36.14</v>
      </c>
      <c r="U73" s="184">
        <f t="shared" si="81"/>
        <v>9.7899999999999494</v>
      </c>
      <c r="V73" s="201">
        <f>IF(H72="AFIII",VLOOKUP(D73,Sheet1!$A$4:$H$18,5,FALSE),IF(H72="UBIII",VLOOKUP(D73,Sheet1!$A$4:$H$18,8,FALSE),IF(H72="",VLOOKUP(D73,Sheet1!$A$4:$H$18,2,FALSE),"0")))</f>
        <v>1768</v>
      </c>
      <c r="W73" s="201">
        <f t="shared" si="82"/>
        <v>0</v>
      </c>
      <c r="X73" s="208">
        <f t="shared" si="83"/>
        <v>9149</v>
      </c>
      <c r="Y73" s="171" t="str">
        <f t="shared" si="84"/>
        <v>SUCCESS</v>
      </c>
      <c r="Z73" s="171" t="str">
        <f t="shared" si="85"/>
        <v>SUCCESS</v>
      </c>
      <c r="AA73" s="185">
        <f t="shared" si="67"/>
        <v>155.30541111936452</v>
      </c>
    </row>
    <row r="74" spans="1:27">
      <c r="A74" s="112">
        <f>ROUNDDOWN(IF(N73-G74&gt;0,(IF(H73="AFIII",VLOOKUP(D74,Sheet1!$K$4:$S$19,5,FALSE),IF(H73="UBIII",VLOOKUP(D74,Sheet1!$K$4:$S$19,8,FALSE),VLOOKUP(D74,Sheet1!$K$4:$S$19,2,FALSE)))*1.2),IF(H73="AFIII",VLOOKUP(D74,Sheet1!$K$4:$S$19,5,FALSE),IF(H73="UBIII",VLOOKUP(D74,Sheet1!$K$4:$S$19,8,FALSE),VLOOKUP(D74,Sheet1!$K$4:$S$19,2,FALSE)))),0)</f>
        <v>504</v>
      </c>
      <c r="B74" s="113">
        <f t="shared" si="77"/>
        <v>27684</v>
      </c>
      <c r="C74" s="118">
        <f t="shared" si="78"/>
        <v>177.87000000000012</v>
      </c>
      <c r="D74" s="181" t="s">
        <v>6</v>
      </c>
      <c r="E74" s="182">
        <f>IF(H73="AFIII",VLOOKUP($D74,Sheet1!$A$34:$K$48,5,FALSE),IF(H73="UBIII",VLOOKUP($D74,Sheet1!$A$34:$K$48,8,FALSE),VLOOKUP($D74,Sheet1!$A$34:$K$48,2,FALSE)))</f>
        <v>2.86</v>
      </c>
      <c r="F74" s="182">
        <f>ROUNDDOWN((IF(H73="AFIII",VLOOKUP($D74,Sheet1!$A$34:$K$48,5,FALSE),IF(H73="UBIII",VLOOKUP($D74,Sheet1!$A$34:$K$48,8,FALSE),VLOOKUP($D74,Sheet1!$A$34:$K$48,2,FALSE))))*0.85,2)</f>
        <v>2.4300000000000002</v>
      </c>
      <c r="G74" s="182">
        <f t="shared" si="87"/>
        <v>2.86</v>
      </c>
      <c r="H74" s="183" t="s">
        <v>84</v>
      </c>
      <c r="I74" s="182">
        <f>I73-G74</f>
        <v>4.2800000000000011</v>
      </c>
      <c r="K74" s="182">
        <f t="shared" si="89"/>
        <v>16.89</v>
      </c>
      <c r="L74" s="182">
        <f t="shared" si="75"/>
        <v>27.560000000000002</v>
      </c>
      <c r="O74" s="182">
        <f t="shared" si="79"/>
        <v>9.4199999999998667</v>
      </c>
      <c r="Q74" s="182">
        <f t="shared" si="88"/>
        <v>10.030000000000001</v>
      </c>
      <c r="R74" s="182">
        <f t="shared" si="80"/>
        <v>33.28</v>
      </c>
      <c r="U74" s="184">
        <f t="shared" si="81"/>
        <v>6.92999999999995</v>
      </c>
      <c r="V74" s="201">
        <f>IF(H73="AFIII",VLOOKUP(D74,Sheet1!$A$4:$H$18,5,FALSE),IF(H73="UBIII",VLOOKUP(D74,Sheet1!$A$4:$H$18,8,FALSE),IF(H73="",VLOOKUP(D74,Sheet1!$A$4:$H$18,2,FALSE),"0")))</f>
        <v>1768</v>
      </c>
      <c r="W74" s="201">
        <f t="shared" si="82"/>
        <v>0</v>
      </c>
      <c r="X74" s="208">
        <f t="shared" si="83"/>
        <v>7381</v>
      </c>
      <c r="Y74" s="171" t="str">
        <f t="shared" si="84"/>
        <v>SUCCESS</v>
      </c>
      <c r="Z74" s="171" t="str">
        <f t="shared" si="85"/>
        <v>SUCCESS</v>
      </c>
      <c r="AA74" s="185">
        <f t="shared" si="67"/>
        <v>155.64176083656594</v>
      </c>
    </row>
    <row r="75" spans="1:27">
      <c r="A75" s="112">
        <f>ROUNDDOWN(IF(N74-G75&gt;0,(IF(H74="AFIII",VLOOKUP(D75,Sheet1!$K$4:$S$19,5,FALSE),IF(H74="UBIII",VLOOKUP(D75,Sheet1!$K$4:$S$19,8,FALSE),VLOOKUP(D75,Sheet1!$K$4:$S$19,2,FALSE)))*1.2),IF(H74="AFIII",VLOOKUP(D75,Sheet1!$K$4:$S$19,5,FALSE),IF(H74="UBIII",VLOOKUP(D75,Sheet1!$K$4:$S$19,8,FALSE),VLOOKUP(D75,Sheet1!$K$4:$S$19,2,FALSE)))),0)</f>
        <v>324</v>
      </c>
      <c r="B75" s="113">
        <f t="shared" si="77"/>
        <v>28008</v>
      </c>
      <c r="C75" s="118">
        <f t="shared" si="78"/>
        <v>180.2600000000001</v>
      </c>
      <c r="D75" s="181" t="s">
        <v>1</v>
      </c>
      <c r="E75" s="182">
        <f>IF(H74="AFIII",VLOOKUP($D75,Sheet1!$A$34:$K$48,5,FALSE),IF(H74="UBIII",VLOOKUP($D75,Sheet1!$A$34:$K$48,8,FALSE),VLOOKUP($D75,Sheet1!$A$34:$K$48,2,FALSE)))</f>
        <v>2.39</v>
      </c>
      <c r="F75" s="182">
        <f>ROUNDDOWN((IF(H74="AFIII",VLOOKUP($D75,Sheet1!$A$34:$K$48,5,FALSE),IF(H74="UBIII",VLOOKUP($D75,Sheet1!$A$34:$K$48,8,FALSE),VLOOKUP($D75,Sheet1!$A$34:$K$48,2,FALSE))))*0.85,2)</f>
        <v>2.0299999999999998</v>
      </c>
      <c r="G75" s="182">
        <f t="shared" si="87"/>
        <v>2.39</v>
      </c>
      <c r="H75" s="183" t="s">
        <v>84</v>
      </c>
      <c r="I75" s="182">
        <v>10</v>
      </c>
      <c r="K75" s="182">
        <f t="shared" si="89"/>
        <v>14.5</v>
      </c>
      <c r="L75" s="182">
        <f t="shared" si="75"/>
        <v>25.17</v>
      </c>
      <c r="O75" s="182">
        <f t="shared" si="79"/>
        <v>7.0299999999998661</v>
      </c>
      <c r="Q75" s="182">
        <f t="shared" si="88"/>
        <v>7.6400000000000006</v>
      </c>
      <c r="R75" s="182">
        <f t="shared" si="80"/>
        <v>30.89</v>
      </c>
      <c r="U75" s="184">
        <f t="shared" si="81"/>
        <v>4.5399999999999494</v>
      </c>
      <c r="V75" s="201">
        <f>IF(H74="AFIII",VLOOKUP(D75,Sheet1!$A$4:$H$18,5,FALSE),IF(H74="UBIII",VLOOKUP(D75,Sheet1!$A$4:$H$18,8,FALSE),IF(H74="",VLOOKUP(D75,Sheet1!$A$4:$H$18,2,FALSE),"0")))</f>
        <v>2120</v>
      </c>
      <c r="W75" s="201">
        <f t="shared" si="82"/>
        <v>0</v>
      </c>
      <c r="X75" s="208">
        <f t="shared" si="83"/>
        <v>5261</v>
      </c>
      <c r="Y75" s="171" t="str">
        <f t="shared" si="84"/>
        <v>SUCCESS</v>
      </c>
      <c r="Z75" s="171" t="str">
        <f t="shared" si="85"/>
        <v>SUCCESS</v>
      </c>
      <c r="AA75" s="185">
        <f t="shared" si="67"/>
        <v>155.37556862309987</v>
      </c>
    </row>
    <row r="76" spans="1:27">
      <c r="A76" s="112">
        <f>ROUNDDOWN(IF(N75-G76&gt;0,(IF(H75="AFIII",VLOOKUP(D76,Sheet1!$K$4:$S$19,5,FALSE),IF(H75="UBIII",VLOOKUP(D76,Sheet1!$K$4:$S$19,8,FALSE),VLOOKUP(D76,Sheet1!$K$4:$S$19,2,FALSE)))*1.2),IF(H75="AFIII",VLOOKUP(D76,Sheet1!$K$4:$S$19,5,FALSE),IF(H75="UBIII",VLOOKUP(D76,Sheet1!$K$4:$S$19,8,FALSE),VLOOKUP(D76,Sheet1!$K$4:$S$19,2,FALSE)))),0)</f>
        <v>504</v>
      </c>
      <c r="B76" s="113">
        <f t="shared" si="77"/>
        <v>28512</v>
      </c>
      <c r="C76" s="118">
        <f t="shared" si="78"/>
        <v>183.12000000000012</v>
      </c>
      <c r="D76" s="181" t="s">
        <v>6</v>
      </c>
      <c r="E76" s="182">
        <f>IF(H75="AFIII",VLOOKUP($D76,Sheet1!$A$34:$K$48,5,FALSE),IF(H75="UBIII",VLOOKUP($D76,Sheet1!$A$34:$K$48,8,FALSE),VLOOKUP($D76,Sheet1!$A$34:$K$48,2,FALSE)))</f>
        <v>2.86</v>
      </c>
      <c r="F76" s="182">
        <f>ROUNDDOWN((IF(H75="AFIII",VLOOKUP($D76,Sheet1!$A$34:$K$48,5,FALSE),IF(H75="UBIII",VLOOKUP($D76,Sheet1!$A$34:$K$48,8,FALSE),VLOOKUP($D76,Sheet1!$A$34:$K$48,2,FALSE))))*0.85,2)</f>
        <v>2.4300000000000002</v>
      </c>
      <c r="G76" s="182">
        <f t="shared" si="87"/>
        <v>2.86</v>
      </c>
      <c r="H76" s="183" t="s">
        <v>84</v>
      </c>
      <c r="I76" s="182">
        <f>I75-G76</f>
        <v>7.1400000000000006</v>
      </c>
      <c r="K76" s="182">
        <f t="shared" si="89"/>
        <v>11.64</v>
      </c>
      <c r="L76" s="182">
        <f t="shared" si="75"/>
        <v>22.310000000000002</v>
      </c>
      <c r="O76" s="182">
        <f t="shared" si="79"/>
        <v>4.1699999999998667</v>
      </c>
      <c r="Q76" s="182">
        <f t="shared" si="88"/>
        <v>4.7800000000000011</v>
      </c>
      <c r="R76" s="182">
        <f t="shared" si="80"/>
        <v>28.03</v>
      </c>
      <c r="U76" s="184">
        <f t="shared" si="81"/>
        <v>1.6799999999999495</v>
      </c>
      <c r="V76" s="201">
        <f>IF(H75="AFIII",VLOOKUP(D76,Sheet1!$A$4:$H$18,5,FALSE),IF(H75="UBIII",VLOOKUP(D76,Sheet1!$A$4:$H$18,8,FALSE),IF(H75="",VLOOKUP(D76,Sheet1!$A$4:$H$18,2,FALSE),"0")))</f>
        <v>1768</v>
      </c>
      <c r="W76" s="201">
        <f t="shared" si="82"/>
        <v>0</v>
      </c>
      <c r="X76" s="208">
        <f t="shared" si="83"/>
        <v>3493</v>
      </c>
      <c r="Y76" s="171" t="str">
        <f t="shared" si="84"/>
        <v>SUCCESS</v>
      </c>
      <c r="Z76" s="171" t="str">
        <f t="shared" si="85"/>
        <v>SUCCESS</v>
      </c>
      <c r="AA76" s="185">
        <f t="shared" si="67"/>
        <v>155.70117955439045</v>
      </c>
    </row>
    <row r="77" spans="1:27">
      <c r="A77" s="112">
        <f>ROUNDDOWN(IF(N76-G77&gt;0,(IF(H76="AFIII",VLOOKUP(D77,Sheet1!$K$4:$S$19,5,FALSE),IF(H76="UBIII",VLOOKUP(D77,Sheet1!$K$4:$S$19,8,FALSE),VLOOKUP(D77,Sheet1!$K$4:$S$19,2,FALSE)))*1.2),IF(H76="AFIII",VLOOKUP(D77,Sheet1!$K$4:$S$19,5,FALSE),IF(H76="UBIII",VLOOKUP(D77,Sheet1!$K$4:$S$19,8,FALSE),VLOOKUP(D77,Sheet1!$K$4:$S$19,2,FALSE)))),0)</f>
        <v>504</v>
      </c>
      <c r="B77" s="113">
        <f t="shared" si="77"/>
        <v>29016</v>
      </c>
      <c r="C77" s="118">
        <f t="shared" si="78"/>
        <v>185.98000000000013</v>
      </c>
      <c r="D77" s="181" t="s">
        <v>6</v>
      </c>
      <c r="E77" s="182">
        <f>IF(H76="AFIII",VLOOKUP($D77,Sheet1!$A$34:$K$48,5,FALSE),IF(H76="UBIII",VLOOKUP($D77,Sheet1!$A$34:$K$48,8,FALSE),VLOOKUP($D77,Sheet1!$A$34:$K$48,2,FALSE)))</f>
        <v>2.86</v>
      </c>
      <c r="F77" s="182">
        <f>ROUNDDOWN((IF(H76="AFIII",VLOOKUP($D77,Sheet1!$A$34:$K$48,5,FALSE),IF(H76="UBIII",VLOOKUP($D77,Sheet1!$A$34:$K$48,8,FALSE),VLOOKUP($D77,Sheet1!$A$34:$K$48,2,FALSE))))*0.85,2)</f>
        <v>2.4300000000000002</v>
      </c>
      <c r="G77" s="182">
        <f t="shared" si="87"/>
        <v>2.86</v>
      </c>
      <c r="H77" s="183" t="s">
        <v>84</v>
      </c>
      <c r="I77" s="182">
        <f>I76-G77</f>
        <v>4.2800000000000011</v>
      </c>
      <c r="K77" s="182">
        <f t="shared" si="89"/>
        <v>8.7800000000000011</v>
      </c>
      <c r="L77" s="182">
        <f t="shared" si="75"/>
        <v>19.450000000000003</v>
      </c>
      <c r="O77" s="182">
        <f t="shared" si="79"/>
        <v>1.3099999999998668</v>
      </c>
      <c r="Q77" s="182">
        <f t="shared" si="88"/>
        <v>1.9200000000000013</v>
      </c>
      <c r="R77" s="182">
        <f t="shared" si="80"/>
        <v>25.17</v>
      </c>
      <c r="U77" s="184">
        <f t="shared" si="81"/>
        <v>-1.1800000000000503</v>
      </c>
      <c r="V77" s="201">
        <f>IF(H76="AFIII",VLOOKUP(D77,Sheet1!$A$4:$H$18,5,FALSE),IF(H76="UBIII",VLOOKUP(D77,Sheet1!$A$4:$H$18,8,FALSE),IF(H76="",VLOOKUP(D77,Sheet1!$A$4:$H$18,2,FALSE),"0")))</f>
        <v>1768</v>
      </c>
      <c r="W77" s="201">
        <f t="shared" si="82"/>
        <v>0</v>
      </c>
      <c r="X77" s="208">
        <f t="shared" si="83"/>
        <v>1725</v>
      </c>
      <c r="Y77" s="171" t="str">
        <f t="shared" si="84"/>
        <v>SUCCESS</v>
      </c>
      <c r="Z77" s="171" t="str">
        <f t="shared" si="85"/>
        <v>SUCCESS</v>
      </c>
      <c r="AA77" s="185">
        <f t="shared" si="67"/>
        <v>156.01677599741896</v>
      </c>
    </row>
    <row r="78" spans="1:27">
      <c r="A78" s="112">
        <f>ROUNDDOWN(IF(N77-G78&gt;0,(IF(H77="AFIII",VLOOKUP(D78,Sheet1!$K$4:$S$19,5,FALSE),IF(H77="UBIII",VLOOKUP(D78,Sheet1!$K$4:$S$19,8,FALSE),VLOOKUP(D78,Sheet1!$K$4:$S$19,2,FALSE)))*1.2),IF(H77="AFIII",VLOOKUP(D78,Sheet1!$K$4:$S$19,5,FALSE),IF(H77="UBIII",VLOOKUP(D78,Sheet1!$K$4:$S$19,8,FALSE),VLOOKUP(D78,Sheet1!$K$4:$S$19,2,FALSE)))),0)</f>
        <v>168</v>
      </c>
      <c r="B78" s="113">
        <f t="shared" si="77"/>
        <v>29184</v>
      </c>
      <c r="C78" s="118">
        <f t="shared" si="78"/>
        <v>188.37000000000012</v>
      </c>
      <c r="D78" s="181" t="s">
        <v>12</v>
      </c>
      <c r="E78" s="182">
        <f>IF(H77="AFIII",VLOOKUP($D78,Sheet1!$A$34:$K$48,5,FALSE),IF(H77="UBIII",VLOOKUP($D78,Sheet1!$A$34:$K$48,8,FALSE),VLOOKUP($D78,Sheet1!$A$34:$K$48,2,FALSE)))</f>
        <v>1.67</v>
      </c>
      <c r="F78" s="182">
        <f>ROUNDDOWN((IF(H77="AFIII",VLOOKUP($D78,Sheet1!$A$34:$K$48,5,FALSE),IF(H77="UBIII",VLOOKUP($D78,Sheet1!$A$34:$K$48,8,FALSE),VLOOKUP($D78,Sheet1!$A$34:$K$48,2,FALSE))))*0.85,2)</f>
        <v>1.41</v>
      </c>
      <c r="G78" s="182">
        <f t="shared" si="87"/>
        <v>2.39</v>
      </c>
      <c r="H78" s="183" t="s">
        <v>122</v>
      </c>
      <c r="I78" s="182">
        <v>10</v>
      </c>
      <c r="K78" s="182">
        <f t="shared" si="89"/>
        <v>6.3900000000000006</v>
      </c>
      <c r="L78" s="182">
        <f t="shared" si="75"/>
        <v>17.060000000000002</v>
      </c>
      <c r="O78" s="182">
        <f t="shared" si="79"/>
        <v>-1.0800000000001333</v>
      </c>
      <c r="Q78" s="182">
        <f t="shared" si="88"/>
        <v>-0.46999999999999886</v>
      </c>
      <c r="R78" s="182">
        <f t="shared" si="80"/>
        <v>22.78</v>
      </c>
      <c r="U78" s="184">
        <f t="shared" si="81"/>
        <v>-3.5700000000000505</v>
      </c>
      <c r="V78" s="201">
        <f>IF(H77="AFIII",VLOOKUP(D78,Sheet1!$A$4:$H$18,5,FALSE),IF(H77="UBIII",VLOOKUP(D78,Sheet1!$A$4:$H$18,8,FALSE),IF(H77="",VLOOKUP(D78,Sheet1!$A$4:$H$18,2,FALSE),"0")))</f>
        <v>265</v>
      </c>
      <c r="W78" s="201">
        <f t="shared" si="82"/>
        <v>0</v>
      </c>
      <c r="X78" s="208">
        <f t="shared" si="83"/>
        <v>1460</v>
      </c>
      <c r="Y78" s="171" t="str">
        <f t="shared" si="84"/>
        <v>SUCCESS</v>
      </c>
      <c r="Z78" s="171" t="str">
        <f t="shared" si="85"/>
        <v>SUCCESS</v>
      </c>
      <c r="AA78" s="185">
        <f t="shared" si="67"/>
        <v>154.92912884217222</v>
      </c>
    </row>
    <row r="79" spans="1:27">
      <c r="A79" s="112">
        <f>ROUNDDOWN(IF(N78-G79&gt;0,(IF(H78="AFIII",VLOOKUP(D79,Sheet1!$K$4:$S$19,5,FALSE),IF(H78="UBIII",VLOOKUP(D79,Sheet1!$K$4:$S$19,8,FALSE),VLOOKUP(D79,Sheet1!$K$4:$S$19,2,FALSE)))*1.2),IF(H78="AFIII",VLOOKUP(D79,Sheet1!$K$4:$S$19,5,FALSE),IF(H78="UBIII",VLOOKUP(D79,Sheet1!$K$4:$S$19,8,FALSE),VLOOKUP(D79,Sheet1!$K$4:$S$19,2,FALSE)))),0)</f>
        <v>295</v>
      </c>
      <c r="B79" s="113">
        <f t="shared" si="77"/>
        <v>29479</v>
      </c>
      <c r="C79" s="118">
        <f t="shared" si="78"/>
        <v>191.23000000000013</v>
      </c>
      <c r="D79" s="181" t="s">
        <v>19</v>
      </c>
      <c r="E79" s="182">
        <f>IF(H78="AFIII",VLOOKUP($D79,Sheet1!$A$34:$K$48,5,FALSE),IF(H78="UBIII",VLOOKUP($D79,Sheet1!$A$34:$K$48,8,FALSE),VLOOKUP($D79,Sheet1!$A$34:$K$48,2,FALSE)))</f>
        <v>2.86</v>
      </c>
      <c r="F79" s="182">
        <f>ROUNDDOWN((IF(H78="AFIII",VLOOKUP($D79,Sheet1!$A$34:$K$48,5,FALSE),IF(H78="UBIII",VLOOKUP($D79,Sheet1!$A$34:$K$48,8,FALSE),VLOOKUP($D79,Sheet1!$A$34:$K$48,2,FALSE))))*0.85,2)</f>
        <v>2.4300000000000002</v>
      </c>
      <c r="G79" s="182">
        <f t="shared" si="87"/>
        <v>2.86</v>
      </c>
      <c r="H79" s="183" t="s">
        <v>122</v>
      </c>
      <c r="I79" s="182">
        <f>I78-G79</f>
        <v>7.1400000000000006</v>
      </c>
      <c r="K79" s="182">
        <f t="shared" si="89"/>
        <v>3.5300000000000007</v>
      </c>
      <c r="L79" s="182">
        <f t="shared" si="75"/>
        <v>14.200000000000003</v>
      </c>
      <c r="O79" s="182">
        <f t="shared" si="79"/>
        <v>-3.9400000000001332</v>
      </c>
      <c r="P79" s="183" t="s">
        <v>17</v>
      </c>
      <c r="Q79" s="182">
        <v>21</v>
      </c>
      <c r="R79" s="182">
        <f t="shared" si="80"/>
        <v>19.920000000000002</v>
      </c>
      <c r="U79" s="184">
        <f t="shared" si="81"/>
        <v>-6.4300000000000503</v>
      </c>
      <c r="V79" s="201">
        <f>IF(H78="AFIII",VLOOKUP(D79,Sheet1!$A$4:$H$18,5,FALSE),IF(H78="UBIII",VLOOKUP(D79,Sheet1!$A$4:$H$18,8,FALSE),IF(H78="",VLOOKUP(D79,Sheet1!$A$4:$H$18,2,FALSE),"0")))</f>
        <v>1060</v>
      </c>
      <c r="W79" s="201">
        <f t="shared" si="82"/>
        <v>7033</v>
      </c>
      <c r="X79" s="208">
        <f t="shared" si="83"/>
        <v>7433</v>
      </c>
      <c r="Y79" s="171" t="str">
        <f t="shared" si="84"/>
        <v>SUCCESS</v>
      </c>
      <c r="Z79" s="171" t="str">
        <f t="shared" si="85"/>
        <v>SUCCESS</v>
      </c>
      <c r="AA79" s="185">
        <f t="shared" si="67"/>
        <v>154.15468284265012</v>
      </c>
    </row>
    <row r="80" spans="1:27">
      <c r="A80" s="119">
        <f>ROUNDDOWN(IF(N79-G80&gt;0,(IF(H79="AFIII",VLOOKUP(D80,Sheet1!$K$4:$S$19,5,FALSE),IF(H79="UBIII",VLOOKUP(D80,Sheet1!$K$4:$S$19,8,FALSE),VLOOKUP(D80,Sheet1!$K$4:$S$19,2,FALSE)))*1.2),IF(H79="AFIII",VLOOKUP(D80,Sheet1!$K$4:$S$19,5,FALSE),IF(H79="UBIII",VLOOKUP(D80,Sheet1!$K$4:$S$19,8,FALSE),VLOOKUP(D80,Sheet1!$K$4:$S$19,2,FALSE)))),0)</f>
        <v>280</v>
      </c>
      <c r="B80" s="120">
        <f t="shared" si="77"/>
        <v>29759</v>
      </c>
      <c r="C80" s="121">
        <f t="shared" si="78"/>
        <v>194.09000000000015</v>
      </c>
      <c r="D80" s="191" t="s">
        <v>14</v>
      </c>
      <c r="E80" s="192">
        <f>IF(H79="AFIII",VLOOKUP($D80,Sheet1!$A$34:$K$48,5,FALSE),IF(H79="UBIII",VLOOKUP($D80,Sheet1!$A$34:$K$48,8,FALSE),VLOOKUP($D80,Sheet1!$A$34:$K$48,2,FALSE)))</f>
        <v>2.86</v>
      </c>
      <c r="F80" s="192">
        <f>ROUNDDOWN((IF(H79="AFIII",VLOOKUP($D80,Sheet1!$A$34:$K$48,5,FALSE),IF(H79="UBIII",VLOOKUP($D80,Sheet1!$A$34:$K$48,8,FALSE),VLOOKUP($D80,Sheet1!$A$34:$K$48,2,FALSE))))*0.85,2)</f>
        <v>2.4300000000000002</v>
      </c>
      <c r="G80" s="192">
        <f t="shared" si="87"/>
        <v>2.86</v>
      </c>
      <c r="H80" s="193" t="s">
        <v>122</v>
      </c>
      <c r="I80" s="192">
        <f>I79-G80</f>
        <v>4.2800000000000011</v>
      </c>
      <c r="J80" s="193"/>
      <c r="K80" s="192">
        <v>20</v>
      </c>
      <c r="L80" s="192">
        <f t="shared" si="75"/>
        <v>11.340000000000003</v>
      </c>
      <c r="M80" s="193"/>
      <c r="N80" s="192"/>
      <c r="O80" s="192">
        <f t="shared" si="79"/>
        <v>-6.800000000000133</v>
      </c>
      <c r="P80" s="193"/>
      <c r="Q80" s="192">
        <f t="shared" ref="Q80:Q87" si="90">Q79-G80</f>
        <v>18.14</v>
      </c>
      <c r="R80" s="192">
        <f t="shared" si="80"/>
        <v>17.060000000000002</v>
      </c>
      <c r="S80" s="193"/>
      <c r="T80" s="192"/>
      <c r="U80" s="194">
        <f t="shared" si="81"/>
        <v>-9.2900000000000507</v>
      </c>
      <c r="V80" s="211">
        <f>IF(H79="AFIII",VLOOKUP(D80,Sheet1!$A$4:$H$18,5,FALSE),IF(H79="UBIII",VLOOKUP(D80,Sheet1!$A$4:$H$18,8,FALSE),IF(H79="",VLOOKUP(D80,Sheet1!$A$4:$H$18,2,FALSE),"0")))</f>
        <v>884</v>
      </c>
      <c r="W80" s="211">
        <f t="shared" si="82"/>
        <v>7033</v>
      </c>
      <c r="X80" s="212">
        <f t="shared" si="83"/>
        <v>10475</v>
      </c>
      <c r="Y80" s="195" t="str">
        <f t="shared" si="84"/>
        <v>SUCCESS</v>
      </c>
      <c r="Z80" s="195" t="str">
        <f t="shared" si="85"/>
        <v>SUCCESS</v>
      </c>
      <c r="AA80" s="185">
        <f t="shared" si="67"/>
        <v>153.32577670153012</v>
      </c>
    </row>
    <row r="81" spans="1:27">
      <c r="A81" s="112">
        <f>ROUNDDOWN(IF(N80-G81&gt;0,(IF(H80="AFIII",VLOOKUP(D81,Sheet1!$K$4:$S$19,5,FALSE),IF(H80="UBIII",VLOOKUP(D81,Sheet1!$K$4:$S$19,8,FALSE),VLOOKUP(D81,Sheet1!$K$4:$S$19,2,FALSE)))*1.2),IF(H80="AFIII",VLOOKUP(D81,Sheet1!$K$4:$S$19,5,FALSE),IF(H80="UBIII",VLOOKUP(D81,Sheet1!$K$4:$S$19,8,FALSE),VLOOKUP(D81,Sheet1!$K$4:$S$19,2,FALSE)))),0)</f>
        <v>168</v>
      </c>
      <c r="B81" s="113">
        <f t="shared" si="77"/>
        <v>29927</v>
      </c>
      <c r="C81" s="118">
        <f t="shared" si="78"/>
        <v>196.48000000000013</v>
      </c>
      <c r="D81" s="181" t="s">
        <v>3</v>
      </c>
      <c r="E81" s="182">
        <f>IF(H80="AFIII",VLOOKUP($D81,Sheet1!$A$34:$K$48,5,FALSE),IF(H80="UBIII",VLOOKUP($D81,Sheet1!$A$34:$K$48,8,FALSE),VLOOKUP($D81,Sheet1!$A$34:$K$48,2,FALSE)))</f>
        <v>1.67</v>
      </c>
      <c r="F81" s="182">
        <f>ROUNDDOWN((IF(H80="AFIII",VLOOKUP($D81,Sheet1!$A$34:$K$48,5,FALSE),IF(H80="UBIII",VLOOKUP($D81,Sheet1!$A$34:$K$48,8,FALSE),VLOOKUP($D81,Sheet1!$A$34:$K$48,2,FALSE))))*0.85,2)</f>
        <v>1.41</v>
      </c>
      <c r="G81" s="182">
        <f t="shared" si="87"/>
        <v>2.39</v>
      </c>
      <c r="H81" s="183" t="s">
        <v>84</v>
      </c>
      <c r="I81" s="182">
        <v>10</v>
      </c>
      <c r="K81" s="182">
        <f>K80-G81</f>
        <v>17.61</v>
      </c>
      <c r="L81" s="182">
        <f t="shared" si="75"/>
        <v>8.9500000000000028</v>
      </c>
      <c r="O81" s="182">
        <f t="shared" si="79"/>
        <v>-9.1900000000001327</v>
      </c>
      <c r="Q81" s="182">
        <f t="shared" si="90"/>
        <v>15.75</v>
      </c>
      <c r="R81" s="182">
        <f t="shared" si="80"/>
        <v>14.670000000000002</v>
      </c>
      <c r="U81" s="184">
        <f t="shared" si="81"/>
        <v>-11.680000000000051</v>
      </c>
      <c r="V81" s="201">
        <f>IF(H80="AFIII",VLOOKUP(D81,Sheet1!$A$4:$H$18,5,FALSE),IF(H80="UBIII",VLOOKUP(D81,Sheet1!$A$4:$H$18,8,FALSE),IF(H80="",VLOOKUP(D81,Sheet1!$A$4:$H$18,2,FALSE),"0")))</f>
        <v>442</v>
      </c>
      <c r="W81" s="201">
        <f t="shared" si="82"/>
        <v>7033</v>
      </c>
      <c r="X81" s="208">
        <f t="shared" si="83"/>
        <v>10917</v>
      </c>
      <c r="Y81" s="171" t="str">
        <f t="shared" si="84"/>
        <v>SUCCESS</v>
      </c>
      <c r="Z81" s="171" t="str">
        <f t="shared" si="85"/>
        <v>SUCCESS</v>
      </c>
      <c r="AA81" s="185">
        <f t="shared" si="67"/>
        <v>152.31575732899012</v>
      </c>
    </row>
    <row r="82" spans="1:27">
      <c r="A82" s="112">
        <f>ROUNDDOWN(IF(N81-G82&gt;0,(IF(H81="AFIII",VLOOKUP(D82,Sheet1!$K$4:$S$19,5,FALSE),IF(H81="UBIII",VLOOKUP(D82,Sheet1!$K$4:$S$19,8,FALSE),VLOOKUP(D82,Sheet1!$K$4:$S$19,2,FALSE)))*1.2),IF(H81="AFIII",VLOOKUP(D82,Sheet1!$K$4:$S$19,5,FALSE),IF(H81="UBIII",VLOOKUP(D82,Sheet1!$K$4:$S$19,8,FALSE),VLOOKUP(D82,Sheet1!$K$4:$S$19,2,FALSE)))),0)</f>
        <v>504</v>
      </c>
      <c r="B82" s="113">
        <f t="shared" si="77"/>
        <v>30431</v>
      </c>
      <c r="C82" s="118">
        <f t="shared" si="78"/>
        <v>199.34000000000015</v>
      </c>
      <c r="D82" s="181" t="s">
        <v>5</v>
      </c>
      <c r="E82" s="182">
        <f>IF(H81="AFIII",VLOOKUP($D82,Sheet1!$A$34:$K$48,5,FALSE),IF(H81="UBIII",VLOOKUP($D82,Sheet1!$A$34:$K$48,8,FALSE),VLOOKUP($D82,Sheet1!$A$34:$K$48,2,FALSE)))</f>
        <v>2.86</v>
      </c>
      <c r="F82" s="182">
        <f>ROUNDDOWN((IF(H81="AFIII",VLOOKUP($D82,Sheet1!$A$34:$K$48,5,FALSE),IF(H81="UBIII",VLOOKUP($D82,Sheet1!$A$34:$K$48,8,FALSE),VLOOKUP($D82,Sheet1!$A$34:$K$48,2,FALSE))))*0.85,2)</f>
        <v>2.4300000000000002</v>
      </c>
      <c r="G82" s="182">
        <f t="shared" si="87"/>
        <v>2.86</v>
      </c>
      <c r="H82" s="183" t="s">
        <v>84</v>
      </c>
      <c r="I82" s="182">
        <f>I81-G82</f>
        <v>7.1400000000000006</v>
      </c>
      <c r="K82" s="182">
        <f t="shared" ref="K82:K88" si="91">K81-G82</f>
        <v>14.75</v>
      </c>
      <c r="L82" s="182">
        <f t="shared" si="75"/>
        <v>6.0900000000000034</v>
      </c>
      <c r="O82" s="182">
        <f t="shared" si="79"/>
        <v>-12.050000000000132</v>
      </c>
      <c r="Q82" s="182">
        <f t="shared" si="90"/>
        <v>12.89</v>
      </c>
      <c r="R82" s="182">
        <f t="shared" si="80"/>
        <v>11.810000000000002</v>
      </c>
      <c r="U82" s="184">
        <f t="shared" si="81"/>
        <v>-14.540000000000051</v>
      </c>
      <c r="V82" s="201">
        <f>IF(H81="AFIII",VLOOKUP(D82,Sheet1!$A$4:$H$18,5,FALSE),IF(H81="UBIII",VLOOKUP(D82,Sheet1!$A$4:$H$18,8,FALSE),IF(H81="",VLOOKUP(D82,Sheet1!$A$4:$H$18,2,FALSE),"0")))</f>
        <v>1768</v>
      </c>
      <c r="W82" s="201">
        <f t="shared" si="82"/>
        <v>0</v>
      </c>
      <c r="X82" s="208">
        <f t="shared" si="83"/>
        <v>9149</v>
      </c>
      <c r="Y82" s="171" t="str">
        <f t="shared" si="84"/>
        <v>SUCCESS</v>
      </c>
      <c r="Z82" s="171" t="str">
        <f t="shared" si="85"/>
        <v>SUCCESS</v>
      </c>
      <c r="AA82" s="185">
        <f t="shared" si="67"/>
        <v>152.65877395404826</v>
      </c>
    </row>
    <row r="83" spans="1:27">
      <c r="A83" s="112">
        <f>ROUNDDOWN(IF(N82-G83&gt;0,(IF(H82="AFIII",VLOOKUP(D83,Sheet1!$K$4:$S$19,5,FALSE),IF(H82="UBIII",VLOOKUP(D83,Sheet1!$K$4:$S$19,8,FALSE),VLOOKUP(D83,Sheet1!$K$4:$S$19,2,FALSE)))*1.2),IF(H82="AFIII",VLOOKUP(D83,Sheet1!$K$4:$S$19,5,FALSE),IF(H82="UBIII",VLOOKUP(D83,Sheet1!$K$4:$S$19,8,FALSE),VLOOKUP(D83,Sheet1!$K$4:$S$19,2,FALSE)))),0)</f>
        <v>504</v>
      </c>
      <c r="B83" s="113">
        <f t="shared" si="77"/>
        <v>30935</v>
      </c>
      <c r="C83" s="118">
        <f t="shared" si="78"/>
        <v>202.20000000000016</v>
      </c>
      <c r="D83" s="181" t="s">
        <v>5</v>
      </c>
      <c r="E83" s="182">
        <f>IF(H82="AFIII",VLOOKUP($D83,Sheet1!$A$34:$K$48,5,FALSE),IF(H82="UBIII",VLOOKUP($D83,Sheet1!$A$34:$K$48,8,FALSE),VLOOKUP($D83,Sheet1!$A$34:$K$48,2,FALSE)))</f>
        <v>2.86</v>
      </c>
      <c r="F83" s="182">
        <f>ROUNDDOWN((IF(H82="AFIII",VLOOKUP($D83,Sheet1!$A$34:$K$48,5,FALSE),IF(H82="UBIII",VLOOKUP($D83,Sheet1!$A$34:$K$48,8,FALSE),VLOOKUP($D83,Sheet1!$A$34:$K$48,2,FALSE))))*0.85,2)</f>
        <v>2.4300000000000002</v>
      </c>
      <c r="G83" s="182">
        <f t="shared" si="87"/>
        <v>2.86</v>
      </c>
      <c r="H83" s="183" t="s">
        <v>84</v>
      </c>
      <c r="I83" s="182">
        <f t="shared" ref="I83" si="92">I82-G83</f>
        <v>4.2800000000000011</v>
      </c>
      <c r="K83" s="182">
        <f t="shared" si="91"/>
        <v>11.89</v>
      </c>
      <c r="L83" s="182">
        <f t="shared" si="75"/>
        <v>3.2300000000000035</v>
      </c>
      <c r="O83" s="182">
        <f t="shared" si="79"/>
        <v>-14.910000000000132</v>
      </c>
      <c r="Q83" s="182">
        <f t="shared" si="90"/>
        <v>10.030000000000001</v>
      </c>
      <c r="R83" s="182">
        <f t="shared" si="80"/>
        <v>8.9500000000000028</v>
      </c>
      <c r="U83" s="184">
        <f t="shared" si="81"/>
        <v>-17.400000000000052</v>
      </c>
      <c r="V83" s="201">
        <f>IF(H82="AFIII",VLOOKUP(D83,Sheet1!$A$4:$H$18,5,FALSE),IF(H82="UBIII",VLOOKUP(D83,Sheet1!$A$4:$H$18,8,FALSE),IF(H82="",VLOOKUP(D83,Sheet1!$A$4:$H$18,2,FALSE),"0")))</f>
        <v>1768</v>
      </c>
      <c r="W83" s="201">
        <f t="shared" si="82"/>
        <v>0</v>
      </c>
      <c r="X83" s="208">
        <f t="shared" si="83"/>
        <v>7381</v>
      </c>
      <c r="Y83" s="171" t="str">
        <f t="shared" si="84"/>
        <v>SUCCESS</v>
      </c>
      <c r="Z83" s="171" t="str">
        <f t="shared" si="85"/>
        <v>SUCCESS</v>
      </c>
      <c r="AA83" s="185">
        <f t="shared" si="67"/>
        <v>152.99208704253203</v>
      </c>
    </row>
    <row r="84" spans="1:27">
      <c r="A84" s="112">
        <f>ROUNDDOWN(IF(N83-G84&gt;0,(IF(H83="AFIII",VLOOKUP(D84,Sheet1!$K$4:$S$19,5,FALSE),IF(H83="UBIII",VLOOKUP(D84,Sheet1!$K$4:$S$19,8,FALSE),VLOOKUP(D84,Sheet1!$K$4:$S$19,2,FALSE)))*1.2),IF(H83="AFIII",VLOOKUP(D84,Sheet1!$K$4:$S$19,5,FALSE),IF(H83="UBIII",VLOOKUP(D84,Sheet1!$K$4:$S$19,8,FALSE),VLOOKUP(D84,Sheet1!$K$4:$S$19,2,FALSE)))),0)</f>
        <v>324</v>
      </c>
      <c r="B84" s="113">
        <f t="shared" si="77"/>
        <v>31259</v>
      </c>
      <c r="C84" s="118">
        <f t="shared" si="78"/>
        <v>204.59000000000015</v>
      </c>
      <c r="D84" s="181" t="s">
        <v>1</v>
      </c>
      <c r="E84" s="182">
        <f>IF(H83="AFIII",VLOOKUP($D84,Sheet1!$A$34:$K$48,5,FALSE),IF(H83="UBIII",VLOOKUP($D84,Sheet1!$A$34:$K$48,8,FALSE),VLOOKUP($D84,Sheet1!$A$34:$K$48,2,FALSE)))</f>
        <v>2.39</v>
      </c>
      <c r="F84" s="182">
        <f>ROUNDDOWN((IF(H83="AFIII",VLOOKUP($D84,Sheet1!$A$34:$K$48,5,FALSE),IF(H83="UBIII",VLOOKUP($D84,Sheet1!$A$34:$K$48,8,FALSE),VLOOKUP($D84,Sheet1!$A$34:$K$48,2,FALSE))))*0.85,2)</f>
        <v>2.0299999999999998</v>
      </c>
      <c r="G84" s="182">
        <f t="shared" si="87"/>
        <v>2.39</v>
      </c>
      <c r="H84" s="183" t="s">
        <v>84</v>
      </c>
      <c r="I84" s="182">
        <v>10</v>
      </c>
      <c r="K84" s="182">
        <f t="shared" si="91"/>
        <v>9.5</v>
      </c>
      <c r="L84" s="182">
        <f t="shared" si="75"/>
        <v>0.84000000000000341</v>
      </c>
      <c r="O84" s="182">
        <f t="shared" si="79"/>
        <v>-17.300000000000132</v>
      </c>
      <c r="Q84" s="182">
        <f t="shared" si="90"/>
        <v>7.6400000000000006</v>
      </c>
      <c r="R84" s="182">
        <f>R83-G84</f>
        <v>6.5600000000000023</v>
      </c>
      <c r="U84" s="184">
        <f t="shared" si="81"/>
        <v>-19.790000000000052</v>
      </c>
      <c r="V84" s="201">
        <f>IF(H83="AFIII",VLOOKUP(D84,Sheet1!$A$4:$H$18,5,FALSE),IF(H83="UBIII",VLOOKUP(D84,Sheet1!$A$4:$H$18,8,FALSE),IF(H83="",VLOOKUP(D84,Sheet1!$A$4:$H$18,2,FALSE),"0")))</f>
        <v>2120</v>
      </c>
      <c r="W84" s="201">
        <f t="shared" si="82"/>
        <v>0</v>
      </c>
      <c r="X84" s="208">
        <f t="shared" si="83"/>
        <v>5261</v>
      </c>
      <c r="Y84" s="171" t="str">
        <f t="shared" si="84"/>
        <v>SUCCESS</v>
      </c>
      <c r="Z84" s="171" t="str">
        <f t="shared" si="85"/>
        <v>SUCCESS</v>
      </c>
      <c r="AA84" s="185">
        <f t="shared" si="67"/>
        <v>152.78850383694206</v>
      </c>
    </row>
    <row r="85" spans="1:27">
      <c r="A85" s="112">
        <f>ROUNDDOWN(IF(N84-G85&gt;0,(IF(H84="AFIII",VLOOKUP(D85,Sheet1!$K$4:$S$19,5,FALSE),IF(H84="UBIII",VLOOKUP(D85,Sheet1!$K$4:$S$19,8,FALSE),VLOOKUP(D85,Sheet1!$K$4:$S$19,2,FALSE)))*1.2),IF(H84="AFIII",VLOOKUP(D85,Sheet1!$K$4:$S$19,5,FALSE),IF(H84="UBIII",VLOOKUP(D85,Sheet1!$K$4:$S$19,8,FALSE),VLOOKUP(D85,Sheet1!$K$4:$S$19,2,FALSE)))),0)</f>
        <v>504</v>
      </c>
      <c r="B85" s="113">
        <f t="shared" si="77"/>
        <v>31763</v>
      </c>
      <c r="C85" s="118">
        <f t="shared" si="78"/>
        <v>207.45000000000016</v>
      </c>
      <c r="D85" s="181" t="s">
        <v>6</v>
      </c>
      <c r="E85" s="182">
        <f>IF(H84="AFIII",VLOOKUP($D85,Sheet1!$A$34:$K$48,5,FALSE),IF(H84="UBIII",VLOOKUP($D85,Sheet1!$A$34:$K$48,8,FALSE),VLOOKUP($D85,Sheet1!$A$34:$K$48,2,FALSE)))</f>
        <v>2.86</v>
      </c>
      <c r="F85" s="182">
        <f>ROUNDDOWN((IF(H84="AFIII",VLOOKUP($D85,Sheet1!$A$34:$K$48,5,FALSE),IF(H84="UBIII",VLOOKUP($D85,Sheet1!$A$34:$K$48,8,FALSE),VLOOKUP($D85,Sheet1!$A$34:$K$48,2,FALSE))))*0.85,2)</f>
        <v>2.4300000000000002</v>
      </c>
      <c r="G85" s="182">
        <f t="shared" si="87"/>
        <v>2.86</v>
      </c>
      <c r="H85" s="183" t="s">
        <v>84</v>
      </c>
      <c r="I85" s="182">
        <f>I84-G85</f>
        <v>7.1400000000000006</v>
      </c>
      <c r="K85" s="182">
        <f t="shared" si="91"/>
        <v>6.6400000000000006</v>
      </c>
      <c r="L85" s="182">
        <f t="shared" si="75"/>
        <v>-2.0199999999999965</v>
      </c>
      <c r="O85" s="182">
        <f t="shared" si="79"/>
        <v>-20.160000000000132</v>
      </c>
      <c r="Q85" s="182">
        <f t="shared" si="90"/>
        <v>4.7800000000000011</v>
      </c>
      <c r="R85" s="182">
        <f t="shared" ref="R85:R86" si="93">R84-G85</f>
        <v>3.7000000000000024</v>
      </c>
      <c r="U85" s="184">
        <f t="shared" si="81"/>
        <v>-22.650000000000052</v>
      </c>
      <c r="V85" s="201">
        <f>IF(H84="AFIII",VLOOKUP(D85,Sheet1!$A$4:$H$18,5,FALSE),IF(H84="UBIII",VLOOKUP(D85,Sheet1!$A$4:$H$18,8,FALSE),IF(H84="",VLOOKUP(D85,Sheet1!$A$4:$H$18,2,FALSE),"0")))</f>
        <v>1768</v>
      </c>
      <c r="W85" s="201">
        <f t="shared" si="82"/>
        <v>0</v>
      </c>
      <c r="X85" s="208">
        <f t="shared" si="83"/>
        <v>3493</v>
      </c>
      <c r="Y85" s="171" t="str">
        <f t="shared" si="84"/>
        <v>SUCCESS</v>
      </c>
      <c r="Z85" s="171" t="str">
        <f t="shared" si="85"/>
        <v>SUCCESS</v>
      </c>
      <c r="AA85" s="185">
        <f t="shared" si="67"/>
        <v>153.11159315497699</v>
      </c>
    </row>
    <row r="86" spans="1:27">
      <c r="A86" s="112">
        <f>ROUNDDOWN(IF(N85-G86&gt;0,(IF(H85="AFIII",VLOOKUP(D86,Sheet1!$K$4:$S$19,5,FALSE),IF(H85="UBIII",VLOOKUP(D86,Sheet1!$K$4:$S$19,8,FALSE),VLOOKUP(D86,Sheet1!$K$4:$S$19,2,FALSE)))*1.2),IF(H85="AFIII",VLOOKUP(D86,Sheet1!$K$4:$S$19,5,FALSE),IF(H85="UBIII",VLOOKUP(D86,Sheet1!$K$4:$S$19,8,FALSE),VLOOKUP(D86,Sheet1!$K$4:$S$19,2,FALSE)))),0)</f>
        <v>504</v>
      </c>
      <c r="B86" s="113">
        <f t="shared" si="77"/>
        <v>32267</v>
      </c>
      <c r="C86" s="118">
        <f t="shared" si="78"/>
        <v>210.31000000000017</v>
      </c>
      <c r="D86" s="181" t="s">
        <v>6</v>
      </c>
      <c r="E86" s="182">
        <f>IF(H85="AFIII",VLOOKUP($D86,Sheet1!$A$34:$K$48,5,FALSE),IF(H85="UBIII",VLOOKUP($D86,Sheet1!$A$34:$K$48,8,FALSE),VLOOKUP($D86,Sheet1!$A$34:$K$48,2,FALSE)))</f>
        <v>2.86</v>
      </c>
      <c r="F86" s="182">
        <f>ROUNDDOWN((IF(H85="AFIII",VLOOKUP($D86,Sheet1!$A$34:$K$48,5,FALSE),IF(H85="UBIII",VLOOKUP($D86,Sheet1!$A$34:$K$48,8,FALSE),VLOOKUP($D86,Sheet1!$A$34:$K$48,2,FALSE))))*0.85,2)</f>
        <v>2.4300000000000002</v>
      </c>
      <c r="G86" s="182">
        <f t="shared" si="87"/>
        <v>2.86</v>
      </c>
      <c r="H86" s="183" t="s">
        <v>84</v>
      </c>
      <c r="I86" s="182">
        <f>I85-G86</f>
        <v>4.2800000000000011</v>
      </c>
      <c r="K86" s="182">
        <f t="shared" si="91"/>
        <v>3.7800000000000007</v>
      </c>
      <c r="L86" s="182">
        <f t="shared" si="75"/>
        <v>-4.8799999999999963</v>
      </c>
      <c r="O86" s="182">
        <f t="shared" si="79"/>
        <v>-23.020000000000131</v>
      </c>
      <c r="Q86" s="182">
        <f t="shared" si="90"/>
        <v>1.9200000000000013</v>
      </c>
      <c r="R86" s="182">
        <f t="shared" si="93"/>
        <v>0.84000000000000252</v>
      </c>
      <c r="U86" s="184">
        <f t="shared" si="81"/>
        <v>-25.510000000000051</v>
      </c>
      <c r="V86" s="201">
        <f>IF(H85="AFIII",VLOOKUP(D86,Sheet1!$A$4:$H$18,5,FALSE),IF(H85="UBIII",VLOOKUP(D86,Sheet1!$A$4:$H$18,8,FALSE),IF(H85="",VLOOKUP(D86,Sheet1!$A$4:$H$18,2,FALSE),"0")))</f>
        <v>1768</v>
      </c>
      <c r="W86" s="201">
        <f t="shared" si="82"/>
        <v>0</v>
      </c>
      <c r="X86" s="208">
        <f t="shared" si="83"/>
        <v>1725</v>
      </c>
      <c r="Y86" s="171" t="str">
        <f t="shared" si="84"/>
        <v>SUCCESS</v>
      </c>
      <c r="Z86" s="171" t="str">
        <f t="shared" si="85"/>
        <v>SUCCESS</v>
      </c>
      <c r="AA86" s="185">
        <f t="shared" si="67"/>
        <v>153.42589510722254</v>
      </c>
    </row>
    <row r="87" spans="1:27">
      <c r="A87" s="112">
        <f>ROUNDDOWN(IF(N86-G87&gt;0,(IF(H86="AFIII",VLOOKUP(D87,Sheet1!$K$4:$S$19,5,FALSE),IF(H86="UBIII",VLOOKUP(D87,Sheet1!$K$4:$S$19,8,FALSE),VLOOKUP(D87,Sheet1!$K$4:$S$19,2,FALSE)))*1.2),IF(H86="AFIII",VLOOKUP(D87,Sheet1!$K$4:$S$19,5,FALSE),IF(H86="UBIII",VLOOKUP(D87,Sheet1!$K$4:$S$19,8,FALSE),VLOOKUP(D87,Sheet1!$K$4:$S$19,2,FALSE)))),0)</f>
        <v>168</v>
      </c>
      <c r="B87" s="113">
        <f t="shared" si="77"/>
        <v>32435</v>
      </c>
      <c r="C87" s="118">
        <f t="shared" si="78"/>
        <v>212.70000000000016</v>
      </c>
      <c r="D87" s="181" t="s">
        <v>12</v>
      </c>
      <c r="E87" s="182">
        <f>IF(H86="AFIII",VLOOKUP($D87,Sheet1!$A$34:$K$48,5,FALSE),IF(H86="UBIII",VLOOKUP($D87,Sheet1!$A$34:$K$48,8,FALSE),VLOOKUP($D87,Sheet1!$A$34:$K$48,2,FALSE)))</f>
        <v>1.67</v>
      </c>
      <c r="F87" s="182">
        <f>ROUNDDOWN((IF(H86="AFIII",VLOOKUP($D87,Sheet1!$A$34:$K$48,5,FALSE),IF(H86="UBIII",VLOOKUP($D87,Sheet1!$A$34:$K$48,8,FALSE),VLOOKUP($D87,Sheet1!$A$34:$K$48,2,FALSE))))*0.85,2)</f>
        <v>1.41</v>
      </c>
      <c r="G87" s="182">
        <f t="shared" si="87"/>
        <v>2.39</v>
      </c>
      <c r="H87" s="183" t="s">
        <v>122</v>
      </c>
      <c r="I87" s="182">
        <v>10</v>
      </c>
      <c r="K87" s="182">
        <f t="shared" si="91"/>
        <v>1.3900000000000006</v>
      </c>
      <c r="L87" s="182">
        <f t="shared" si="75"/>
        <v>-7.269999999999996</v>
      </c>
      <c r="O87" s="182">
        <f t="shared" si="79"/>
        <v>-25.410000000000132</v>
      </c>
      <c r="Q87" s="182">
        <f t="shared" si="90"/>
        <v>-0.46999999999999886</v>
      </c>
      <c r="S87" s="183" t="s">
        <v>87</v>
      </c>
      <c r="T87" s="182">
        <v>30</v>
      </c>
      <c r="U87" s="184">
        <v>90</v>
      </c>
      <c r="V87" s="201">
        <f>IF(H86="AFIII",VLOOKUP(D87,Sheet1!$A$4:$H$18,5,FALSE),IF(H86="UBIII",VLOOKUP(D87,Sheet1!$A$4:$H$18,8,FALSE),IF(H86="",VLOOKUP(D87,Sheet1!$A$4:$H$18,2,FALSE),"0")))</f>
        <v>265</v>
      </c>
      <c r="W87" s="201">
        <f t="shared" si="82"/>
        <v>0</v>
      </c>
      <c r="X87" s="208">
        <f t="shared" si="83"/>
        <v>1460</v>
      </c>
      <c r="Y87" s="171" t="str">
        <f t="shared" si="84"/>
        <v>SUCCESS</v>
      </c>
      <c r="Z87" s="171" t="str">
        <f t="shared" si="85"/>
        <v>SUCCESS</v>
      </c>
      <c r="AA87" s="185">
        <f t="shared" si="67"/>
        <v>152.49177244945921</v>
      </c>
    </row>
    <row r="88" spans="1:27" ht="12.75" thickBot="1">
      <c r="A88" s="116">
        <f>ROUNDDOWN(IF(N87-G88&gt;0,(IF(H87="AFIII",VLOOKUP(D88,Sheet1!$K$4:$S$19,5,FALSE),IF(H87="UBIII",VLOOKUP(D88,Sheet1!$K$4:$S$19,8,FALSE),VLOOKUP(D88,Sheet1!$K$4:$S$19,2,FALSE)))*1.2),IF(H87="AFIII",VLOOKUP(D88,Sheet1!$K$4:$S$19,5,FALSE),IF(H87="UBIII",VLOOKUP(D88,Sheet1!$K$4:$S$19,8,FALSE),VLOOKUP(D88,Sheet1!$K$4:$S$19,2,FALSE)))),0)</f>
        <v>295</v>
      </c>
      <c r="B88" s="117">
        <f t="shared" si="77"/>
        <v>32730</v>
      </c>
      <c r="C88" s="125">
        <f t="shared" si="78"/>
        <v>215.13000000000017</v>
      </c>
      <c r="D88" s="196" t="s">
        <v>249</v>
      </c>
      <c r="E88" s="197">
        <f>IF(H87="AFIII",VLOOKUP($D88,Sheet1!$A$34:$K$48,5,FALSE),IF(H87="UBIII",VLOOKUP($D88,Sheet1!$A$34:$K$48,8,FALSE),VLOOKUP($D88,Sheet1!$A$34:$K$48,2,FALSE)))</f>
        <v>2.86</v>
      </c>
      <c r="F88" s="197">
        <f>ROUNDDOWN((IF(H87="AFIII",VLOOKUP($D88,Sheet1!$A$34:$K$48,5,FALSE),IF(H87="UBIII",VLOOKUP($D88,Sheet1!$A$34:$K$48,8,FALSE),VLOOKUP($D88,Sheet1!$A$34:$K$48,2,FALSE))))*0.85,2)</f>
        <v>2.4300000000000002</v>
      </c>
      <c r="G88" s="197">
        <f t="shared" si="87"/>
        <v>2.4300000000000002</v>
      </c>
      <c r="H88" s="198" t="s">
        <v>122</v>
      </c>
      <c r="I88" s="197">
        <f>I87-G88</f>
        <v>7.57</v>
      </c>
      <c r="J88" s="198"/>
      <c r="K88" s="197">
        <f t="shared" si="91"/>
        <v>-1.0399999999999996</v>
      </c>
      <c r="L88" s="197">
        <f t="shared" si="75"/>
        <v>-9.6999999999999957</v>
      </c>
      <c r="M88" s="198"/>
      <c r="N88" s="197"/>
      <c r="O88" s="197">
        <f t="shared" si="79"/>
        <v>-27.840000000000131</v>
      </c>
      <c r="P88" s="198"/>
      <c r="Q88" s="197"/>
      <c r="R88" s="197"/>
      <c r="S88" s="198" t="s">
        <v>87</v>
      </c>
      <c r="T88" s="197">
        <f t="shared" ref="T88" si="94">T87-G88</f>
        <v>27.57</v>
      </c>
      <c r="U88" s="199">
        <f t="shared" ref="U88" si="95">U87-G88</f>
        <v>87.57</v>
      </c>
      <c r="V88" s="206">
        <f>IF(H87="AFIII",VLOOKUP(D88,Sheet1!$A$4:$H$18,5,FALSE),IF(H87="UBIII",VLOOKUP(D88,Sheet1!$A$4:$H$18,8,FALSE),IF(H87="",VLOOKUP(D88,Sheet1!$A$4:$H$18,2,FALSE),"0")))</f>
        <v>1060</v>
      </c>
      <c r="W88" s="206">
        <f t="shared" si="82"/>
        <v>7033</v>
      </c>
      <c r="X88" s="207">
        <f t="shared" si="83"/>
        <v>7433</v>
      </c>
      <c r="Y88" s="180" t="str">
        <f t="shared" si="84"/>
        <v>SUCCESS</v>
      </c>
      <c r="Z88" s="180" t="str">
        <f t="shared" si="85"/>
        <v>ERROR</v>
      </c>
      <c r="AA88" s="185">
        <f t="shared" si="67"/>
        <v>152.14056616929287</v>
      </c>
    </row>
    <row r="89" spans="1:27" ht="12.75" thickTop="1">
      <c r="A89" s="112">
        <f>ROUNDDOWN(IF(N88-G89&gt;0,(IF(H88="AFIII",VLOOKUP(D89,Sheet1!$K$4:$S$19,5,FALSE),IF(H88="UBIII",VLOOKUP(D89,Sheet1!$K$4:$S$19,8,FALSE),VLOOKUP(D89,Sheet1!$K$4:$S$19,2,FALSE)))*1.2),IF(H88="AFIII",VLOOKUP(D89,Sheet1!$K$4:$S$19,5,FALSE),IF(H88="UBIII",VLOOKUP(D89,Sheet1!$K$4:$S$19,8,FALSE),VLOOKUP(D89,Sheet1!$K$4:$S$19,2,FALSE)))),0)</f>
        <v>168</v>
      </c>
      <c r="B89" s="113">
        <f t="shared" si="77"/>
        <v>32898</v>
      </c>
      <c r="C89" s="118">
        <f t="shared" si="78"/>
        <v>217.16000000000017</v>
      </c>
      <c r="D89" s="181" t="s">
        <v>4</v>
      </c>
      <c r="E89" s="182">
        <f>IF(H88="AFIII",VLOOKUP($D89,Sheet1!$A$34:$K$48,5,FALSE),IF(H88="UBIII",VLOOKUP($D89,Sheet1!$A$34:$K$48,8,FALSE),VLOOKUP($D89,Sheet1!$A$34:$K$48,2,FALSE)))</f>
        <v>1.67</v>
      </c>
      <c r="F89" s="182">
        <f>ROUNDDOWN((IF(H88="AFIII",VLOOKUP($D89,Sheet1!$A$34:$K$48,5,FALSE),IF(H88="UBIII",VLOOKUP($D89,Sheet1!$A$34:$K$48,8,FALSE),VLOOKUP($D89,Sheet1!$A$34:$K$48,2,FALSE))))*0.85,2)</f>
        <v>1.41</v>
      </c>
      <c r="G89" s="182">
        <f t="shared" si="87"/>
        <v>2.0299999999999998</v>
      </c>
      <c r="H89" s="183" t="s">
        <v>84</v>
      </c>
      <c r="I89" s="182">
        <v>10</v>
      </c>
      <c r="J89" s="183" t="s">
        <v>105</v>
      </c>
      <c r="K89" s="182">
        <v>30</v>
      </c>
      <c r="L89" s="182">
        <v>60</v>
      </c>
      <c r="S89" s="183" t="s">
        <v>87</v>
      </c>
      <c r="T89" s="182">
        <f t="shared" ref="T89:T102" si="96">T88-G89</f>
        <v>25.54</v>
      </c>
      <c r="U89" s="184">
        <f t="shared" ref="U89:U125" si="97">U88-G89</f>
        <v>85.539999999999992</v>
      </c>
      <c r="V89" s="201">
        <f>IF(H88="AFIII",VLOOKUP(D89,Sheet1!$A$4:$H$18,5,FALSE),IF(H88="UBIII",VLOOKUP(D89,Sheet1!$A$4:$H$18,8,FALSE),IF(H88="",VLOOKUP(D89,Sheet1!$A$4:$H$18,2,FALSE),"0")))</f>
        <v>442</v>
      </c>
      <c r="W89" s="201">
        <f t="shared" si="82"/>
        <v>7033</v>
      </c>
      <c r="X89" s="208">
        <f t="shared" si="83"/>
        <v>10917</v>
      </c>
      <c r="Y89" s="171" t="str">
        <f t="shared" si="84"/>
        <v>SUCCESS</v>
      </c>
      <c r="Z89" s="171" t="str">
        <f t="shared" si="85"/>
        <v>ERROR</v>
      </c>
      <c r="AA89" s="185">
        <f t="shared" ref="AA82:AA145" si="98">B89/C89</f>
        <v>151.49198747467292</v>
      </c>
    </row>
    <row r="90" spans="1:27">
      <c r="A90" s="112">
        <f>ROUNDDOWN(IF(N89-G90&gt;0,(IF(H89="AFIII",VLOOKUP(D90,Sheet1!$K$4:$S$19,5,FALSE),IF(H89="UBIII",VLOOKUP(D90,Sheet1!$K$4:$S$19,8,FALSE),VLOOKUP(D90,Sheet1!$K$4:$S$19,2,FALSE)))*1.2),IF(H89="AFIII",VLOOKUP(D90,Sheet1!$K$4:$S$19,5,FALSE),IF(H89="UBIII",VLOOKUP(D90,Sheet1!$K$4:$S$19,8,FALSE),VLOOKUP(D90,Sheet1!$K$4:$S$19,2,FALSE)))),0)</f>
        <v>504</v>
      </c>
      <c r="B90" s="113">
        <f t="shared" si="77"/>
        <v>33402</v>
      </c>
      <c r="C90" s="118">
        <f t="shared" si="78"/>
        <v>219.59000000000017</v>
      </c>
      <c r="D90" s="181" t="s">
        <v>6</v>
      </c>
      <c r="E90" s="182">
        <f>IF(H89="AFIII",VLOOKUP($D90,Sheet1!$A$34:$K$48,5,FALSE),IF(H89="UBIII",VLOOKUP($D90,Sheet1!$A$34:$K$48,8,FALSE),VLOOKUP($D90,Sheet1!$A$34:$K$48,2,FALSE)))</f>
        <v>2.86</v>
      </c>
      <c r="F90" s="182">
        <f>ROUNDDOWN((IF(H89="AFIII",VLOOKUP($D90,Sheet1!$A$34:$K$48,5,FALSE),IF(H89="UBIII",VLOOKUP($D90,Sheet1!$A$34:$K$48,8,FALSE),VLOOKUP($D90,Sheet1!$A$34:$K$48,2,FALSE))))*0.85,2)</f>
        <v>2.4300000000000002</v>
      </c>
      <c r="G90" s="182">
        <f>IF(M89="迅速",IF(S89="黒魔紋",$F$1,$E$1),IF(S89="黒魔紋",IF(F90&lt;$F$1,$F$1,F90),IF(E90&lt;$E$1,$E$1,E90)))</f>
        <v>2.4300000000000002</v>
      </c>
      <c r="H90" s="183" t="s">
        <v>84</v>
      </c>
      <c r="I90" s="182">
        <f>I89-G90</f>
        <v>7.57</v>
      </c>
      <c r="K90" s="182">
        <f>K89-G90</f>
        <v>27.57</v>
      </c>
      <c r="L90" s="182">
        <f>L89-G90</f>
        <v>57.57</v>
      </c>
      <c r="M90" s="183" t="s">
        <v>96</v>
      </c>
      <c r="N90" s="182">
        <v>20</v>
      </c>
      <c r="O90" s="182">
        <v>180</v>
      </c>
      <c r="S90" s="183" t="s">
        <v>87</v>
      </c>
      <c r="T90" s="182">
        <f t="shared" si="96"/>
        <v>23.11</v>
      </c>
      <c r="U90" s="184">
        <f t="shared" si="97"/>
        <v>83.109999999999985</v>
      </c>
      <c r="V90" s="201">
        <f>IF(H89="AFIII",VLOOKUP(D90,Sheet1!$A$4:$H$18,5,FALSE),IF(H89="UBIII",VLOOKUP(D90,Sheet1!$A$4:$H$18,8,FALSE),IF(H89="",VLOOKUP(D90,Sheet1!$A$4:$H$18,2,FALSE),"0")))</f>
        <v>1768</v>
      </c>
      <c r="W90" s="201">
        <f t="shared" si="82"/>
        <v>0</v>
      </c>
      <c r="X90" s="208">
        <f t="shared" si="83"/>
        <v>9149</v>
      </c>
      <c r="Y90" s="171" t="str">
        <f t="shared" si="84"/>
        <v>SUCCESS</v>
      </c>
      <c r="Z90" s="171" t="str">
        <f t="shared" si="85"/>
        <v>SUCCESS</v>
      </c>
      <c r="AA90" s="185">
        <f t="shared" si="98"/>
        <v>152.11075185573102</v>
      </c>
    </row>
    <row r="91" spans="1:27">
      <c r="A91" s="112">
        <f>ROUNDDOWN(IF(N90-G91&gt;0,(IF(H90="AFIII",VLOOKUP(D91,Sheet1!$K$4:$S$19,5,FALSE),IF(H90="UBIII",VLOOKUP(D91,Sheet1!$K$4:$S$19,8,FALSE),VLOOKUP(D91,Sheet1!$K$4:$S$19,2,FALSE)))*1.2),IF(H90="AFIII",VLOOKUP(D91,Sheet1!$K$4:$S$19,5,FALSE),IF(H90="UBIII",VLOOKUP(D91,Sheet1!$K$4:$S$19,8,FALSE),VLOOKUP(D91,Sheet1!$K$4:$S$19,2,FALSE)))),0)</f>
        <v>604</v>
      </c>
      <c r="B91" s="113">
        <f t="shared" si="77"/>
        <v>34006</v>
      </c>
      <c r="C91" s="118">
        <f t="shared" si="78"/>
        <v>222.02000000000018</v>
      </c>
      <c r="D91" s="181" t="s">
        <v>6</v>
      </c>
      <c r="E91" s="182">
        <f>IF(H90="AFIII",VLOOKUP($D91,Sheet1!$A$34:$K$48,5,FALSE),IF(H90="UBIII",VLOOKUP($D91,Sheet1!$A$34:$K$48,8,FALSE),VLOOKUP($D91,Sheet1!$A$34:$K$48,2,FALSE)))</f>
        <v>2.86</v>
      </c>
      <c r="F91" s="182">
        <f>ROUNDDOWN((IF(H90="AFIII",VLOOKUP($D91,Sheet1!$A$34:$K$48,5,FALSE),IF(H90="UBIII",VLOOKUP($D91,Sheet1!$A$34:$K$48,8,FALSE),VLOOKUP($D91,Sheet1!$A$34:$K$48,2,FALSE))))*0.85,2)</f>
        <v>2.4300000000000002</v>
      </c>
      <c r="G91" s="182">
        <f t="shared" ref="G91:G103" si="99">IF(M90="迅速",IF(S90="黒魔紋",$F$1,$E$1),IF(S90="黒魔紋",IF(F91&lt;$F$1,$F$1,F91),IF(E91&lt;$E$1,$E$1,E91)))</f>
        <v>2.4300000000000002</v>
      </c>
      <c r="H91" s="183" t="s">
        <v>84</v>
      </c>
      <c r="I91" s="182">
        <f t="shared" ref="I91" si="100">I90-G91</f>
        <v>5.1400000000000006</v>
      </c>
      <c r="K91" s="182">
        <f t="shared" ref="K91:K92" si="101">K90-G91</f>
        <v>25.14</v>
      </c>
      <c r="L91" s="182">
        <f t="shared" ref="L91:L92" si="102">L90-G91</f>
        <v>55.14</v>
      </c>
      <c r="N91" s="182">
        <f>N90-G91</f>
        <v>17.57</v>
      </c>
      <c r="O91" s="182">
        <f>O90-G91</f>
        <v>177.57</v>
      </c>
      <c r="P91" s="183" t="s">
        <v>131</v>
      </c>
      <c r="R91" s="182">
        <v>60</v>
      </c>
      <c r="S91" s="183" t="s">
        <v>87</v>
      </c>
      <c r="T91" s="182">
        <f t="shared" si="96"/>
        <v>20.68</v>
      </c>
      <c r="U91" s="184">
        <f t="shared" si="97"/>
        <v>80.679999999999978</v>
      </c>
      <c r="V91" s="201">
        <f>IF(H90="AFIII",VLOOKUP(D91,Sheet1!$A$4:$H$18,5,FALSE),IF(H90="UBIII",VLOOKUP(D91,Sheet1!$A$4:$H$18,8,FALSE),IF(H90="",VLOOKUP(D91,Sheet1!$A$4:$H$18,2,FALSE),"0")))</f>
        <v>1768</v>
      </c>
      <c r="W91" s="201">
        <f t="shared" si="82"/>
        <v>0</v>
      </c>
      <c r="X91" s="208">
        <f t="shared" si="83"/>
        <v>7381</v>
      </c>
      <c r="Y91" s="171" t="str">
        <f t="shared" si="84"/>
        <v>SUCCESS</v>
      </c>
      <c r="Z91" s="171" t="str">
        <f t="shared" si="85"/>
        <v>SUCCESS</v>
      </c>
      <c r="AA91" s="185">
        <f t="shared" si="98"/>
        <v>153.16638140708031</v>
      </c>
    </row>
    <row r="92" spans="1:27">
      <c r="A92" s="112">
        <f>ROUNDDOWN(IF(N91-G92&gt;0,(IF(H91="AFIII",VLOOKUP(D92,Sheet1!$K$4:$S$19,5,FALSE),IF(H91="UBIII",VLOOKUP(D92,Sheet1!$K$4:$S$19,8,FALSE),VLOOKUP(D92,Sheet1!$K$4:$S$19,2,FALSE)))*1.2),IF(H91="AFIII",VLOOKUP(D92,Sheet1!$K$4:$S$19,5,FALSE),IF(H91="UBIII",VLOOKUP(D92,Sheet1!$K$4:$S$19,8,FALSE),VLOOKUP(D92,Sheet1!$K$4:$S$19,2,FALSE)))),0)</f>
        <v>388</v>
      </c>
      <c r="B92" s="113">
        <f t="shared" si="77"/>
        <v>34394</v>
      </c>
      <c r="C92" s="118">
        <f t="shared" si="78"/>
        <v>224.05000000000018</v>
      </c>
      <c r="D92" s="181" t="s">
        <v>1</v>
      </c>
      <c r="E92" s="182">
        <f>IF(H91="AFIII",VLOOKUP($D92,Sheet1!$A$34:$K$48,5,FALSE),IF(H91="UBIII",VLOOKUP($D92,Sheet1!$A$34:$K$48,8,FALSE),VLOOKUP($D92,Sheet1!$A$34:$K$48,2,FALSE)))</f>
        <v>2.39</v>
      </c>
      <c r="F92" s="182">
        <f>ROUNDDOWN((IF(H91="AFIII",VLOOKUP($D92,Sheet1!$A$34:$K$48,5,FALSE),IF(H91="UBIII",VLOOKUP($D92,Sheet1!$A$34:$K$48,8,FALSE),VLOOKUP($D92,Sheet1!$A$34:$K$48,2,FALSE))))*0.85,2)</f>
        <v>2.0299999999999998</v>
      </c>
      <c r="G92" s="182">
        <f t="shared" si="99"/>
        <v>2.0299999999999998</v>
      </c>
      <c r="H92" s="183" t="s">
        <v>84</v>
      </c>
      <c r="I92" s="182">
        <v>10</v>
      </c>
      <c r="K92" s="182">
        <f t="shared" si="101"/>
        <v>23.11</v>
      </c>
      <c r="L92" s="182">
        <f t="shared" si="102"/>
        <v>53.11</v>
      </c>
      <c r="N92" s="182">
        <f t="shared" ref="N92" si="103">N91-G92</f>
        <v>15.540000000000001</v>
      </c>
      <c r="O92" s="182">
        <f t="shared" ref="O92:O155" si="104">O91-G92</f>
        <v>175.54</v>
      </c>
      <c r="R92" s="182">
        <f t="shared" ref="R92:R94" si="105">R91-G92</f>
        <v>57.97</v>
      </c>
      <c r="S92" s="183" t="s">
        <v>87</v>
      </c>
      <c r="T92" s="182">
        <f t="shared" si="96"/>
        <v>18.649999999999999</v>
      </c>
      <c r="U92" s="184">
        <f t="shared" si="97"/>
        <v>78.649999999999977</v>
      </c>
      <c r="V92" s="201">
        <f>IF(H91="AFIII",VLOOKUP(D92,Sheet1!$A$4:$H$18,5,FALSE),IF(H91="UBIII",VLOOKUP(D92,Sheet1!$A$4:$H$18,8,FALSE),IF(H91="",VLOOKUP(D92,Sheet1!$A$4:$H$18,2,FALSE),"0")))</f>
        <v>2120</v>
      </c>
      <c r="W92" s="201">
        <f t="shared" si="82"/>
        <v>0</v>
      </c>
      <c r="X92" s="208">
        <f t="shared" si="83"/>
        <v>5261</v>
      </c>
      <c r="Y92" s="171" t="str">
        <f t="shared" si="84"/>
        <v>SUCCESS</v>
      </c>
      <c r="Z92" s="171" t="str">
        <f t="shared" si="85"/>
        <v>SUCCESS</v>
      </c>
      <c r="AA92" s="185">
        <f t="shared" si="98"/>
        <v>153.51037714795791</v>
      </c>
    </row>
    <row r="93" spans="1:27">
      <c r="A93" s="112">
        <f>ROUNDDOWN(IF(N92-G93&gt;0,(IF(H92="AFIII",VLOOKUP(D93,Sheet1!$K$4:$S$19,5,FALSE),IF(H92="UBIII",VLOOKUP(D93,Sheet1!$K$4:$S$19,8,FALSE),VLOOKUP(D93,Sheet1!$K$4:$S$19,2,FALSE)))*1.2),IF(H92="AFIII",VLOOKUP(D93,Sheet1!$K$4:$S$19,5,FALSE),IF(H92="UBIII",VLOOKUP(D93,Sheet1!$K$4:$S$19,8,FALSE),VLOOKUP(D93,Sheet1!$K$4:$S$19,2,FALSE)))),0)</f>
        <v>604</v>
      </c>
      <c r="B93" s="113">
        <f t="shared" si="77"/>
        <v>34998</v>
      </c>
      <c r="C93" s="118">
        <f t="shared" si="78"/>
        <v>226.48000000000019</v>
      </c>
      <c r="D93" s="181" t="s">
        <v>6</v>
      </c>
      <c r="E93" s="182">
        <f>IF(H92="AFIII",VLOOKUP($D93,Sheet1!$A$34:$K$48,5,FALSE),IF(H92="UBIII",VLOOKUP($D93,Sheet1!$A$34:$K$48,8,FALSE),VLOOKUP($D93,Sheet1!$A$34:$K$48,2,FALSE)))</f>
        <v>2.86</v>
      </c>
      <c r="F93" s="182">
        <f>ROUNDDOWN((IF(H92="AFIII",VLOOKUP($D93,Sheet1!$A$34:$K$48,5,FALSE),IF(H92="UBIII",VLOOKUP($D93,Sheet1!$A$34:$K$48,8,FALSE),VLOOKUP($D93,Sheet1!$A$34:$K$48,2,FALSE))))*0.85,2)</f>
        <v>2.4300000000000002</v>
      </c>
      <c r="G93" s="182">
        <f t="shared" si="99"/>
        <v>2.4300000000000002</v>
      </c>
      <c r="H93" s="183" t="s">
        <v>84</v>
      </c>
      <c r="I93" s="182">
        <f>I92-G93</f>
        <v>7.57</v>
      </c>
      <c r="K93" s="182">
        <f>K92-G93</f>
        <v>20.68</v>
      </c>
      <c r="L93" s="182">
        <f>L92-G93</f>
        <v>50.68</v>
      </c>
      <c r="N93" s="182">
        <f>N92-G93</f>
        <v>13.110000000000001</v>
      </c>
      <c r="O93" s="182">
        <f t="shared" si="104"/>
        <v>173.10999999999999</v>
      </c>
      <c r="R93" s="182">
        <f t="shared" si="105"/>
        <v>55.54</v>
      </c>
      <c r="S93" s="183" t="s">
        <v>87</v>
      </c>
      <c r="T93" s="182">
        <f t="shared" si="96"/>
        <v>16.22</v>
      </c>
      <c r="U93" s="184">
        <f t="shared" si="97"/>
        <v>76.21999999999997</v>
      </c>
      <c r="V93" s="201">
        <f>IF(H92="AFIII",VLOOKUP(D93,Sheet1!$A$4:$H$18,5,FALSE),IF(H92="UBIII",VLOOKUP(D93,Sheet1!$A$4:$H$18,8,FALSE),IF(H92="",VLOOKUP(D93,Sheet1!$A$4:$H$18,2,FALSE),"0")))</f>
        <v>1768</v>
      </c>
      <c r="W93" s="201">
        <f t="shared" si="82"/>
        <v>0</v>
      </c>
      <c r="X93" s="208">
        <f t="shared" si="83"/>
        <v>3493</v>
      </c>
      <c r="Y93" s="171" t="str">
        <f t="shared" si="84"/>
        <v>SUCCESS</v>
      </c>
      <c r="Z93" s="171" t="str">
        <f t="shared" si="85"/>
        <v>SUCCESS</v>
      </c>
      <c r="AA93" s="185">
        <f t="shared" si="98"/>
        <v>154.53020134228174</v>
      </c>
    </row>
    <row r="94" spans="1:27">
      <c r="A94" s="112">
        <f>ROUNDDOWN(IF(N93-G94&gt;0,(IF(H93="AFIII",VLOOKUP(D94,Sheet1!$K$4:$S$19,5,FALSE),IF(H93="UBIII",VLOOKUP(D94,Sheet1!$K$4:$S$19,8,FALSE),VLOOKUP(D94,Sheet1!$K$4:$S$19,2,FALSE)))*1.2),IF(H93="AFIII",VLOOKUP(D94,Sheet1!$K$4:$S$19,5,FALSE),IF(H93="UBIII",VLOOKUP(D94,Sheet1!$K$4:$S$19,8,FALSE),VLOOKUP(D94,Sheet1!$K$4:$S$19,2,FALSE)))),0)</f>
        <v>604</v>
      </c>
      <c r="B94" s="113">
        <f t="shared" si="77"/>
        <v>35602</v>
      </c>
      <c r="C94" s="118">
        <f t="shared" si="78"/>
        <v>228.9100000000002</v>
      </c>
      <c r="D94" s="181" t="s">
        <v>6</v>
      </c>
      <c r="E94" s="182">
        <f>IF(H93="AFIII",VLOOKUP($D94,Sheet1!$A$34:$K$48,5,FALSE),IF(H93="UBIII",VLOOKUP($D94,Sheet1!$A$34:$K$48,8,FALSE),VLOOKUP($D94,Sheet1!$A$34:$K$48,2,FALSE)))</f>
        <v>2.86</v>
      </c>
      <c r="F94" s="182">
        <f>ROUNDDOWN((IF(H93="AFIII",VLOOKUP($D94,Sheet1!$A$34:$K$48,5,FALSE),IF(H93="UBIII",VLOOKUP($D94,Sheet1!$A$34:$K$48,8,FALSE),VLOOKUP($D94,Sheet1!$A$34:$K$48,2,FALSE))))*0.85,2)</f>
        <v>2.4300000000000002</v>
      </c>
      <c r="G94" s="182">
        <f t="shared" si="99"/>
        <v>2.4300000000000002</v>
      </c>
      <c r="H94" s="183" t="s">
        <v>84</v>
      </c>
      <c r="I94" s="182">
        <f>I93-G94</f>
        <v>5.1400000000000006</v>
      </c>
      <c r="K94" s="182">
        <f t="shared" ref="K94:K99" si="106">K93-G94</f>
        <v>18.25</v>
      </c>
      <c r="L94" s="182">
        <f t="shared" ref="L94:L117" si="107">L93-G94</f>
        <v>48.25</v>
      </c>
      <c r="N94" s="182">
        <f t="shared" ref="N94:N99" si="108">N93-G94</f>
        <v>10.680000000000001</v>
      </c>
      <c r="O94" s="182">
        <f t="shared" si="104"/>
        <v>170.67999999999998</v>
      </c>
      <c r="R94" s="182">
        <f t="shared" si="105"/>
        <v>53.11</v>
      </c>
      <c r="S94" s="183" t="s">
        <v>87</v>
      </c>
      <c r="T94" s="182">
        <f t="shared" si="96"/>
        <v>13.79</v>
      </c>
      <c r="U94" s="184">
        <f t="shared" si="97"/>
        <v>73.789999999999964</v>
      </c>
      <c r="V94" s="201">
        <f>IF(H93="AFIII",VLOOKUP(D94,Sheet1!$A$4:$H$18,5,FALSE),IF(H93="UBIII",VLOOKUP(D94,Sheet1!$A$4:$H$18,8,FALSE),IF(H93="",VLOOKUP(D94,Sheet1!$A$4:$H$18,2,FALSE),"0")))</f>
        <v>1768</v>
      </c>
      <c r="W94" s="201">
        <f t="shared" si="82"/>
        <v>0</v>
      </c>
      <c r="X94" s="208">
        <f t="shared" si="83"/>
        <v>1725</v>
      </c>
      <c r="Y94" s="171" t="str">
        <f t="shared" si="84"/>
        <v>SUCCESS</v>
      </c>
      <c r="Z94" s="171" t="str">
        <f t="shared" si="85"/>
        <v>SUCCESS</v>
      </c>
      <c r="AA94" s="185">
        <f t="shared" si="98"/>
        <v>155.5283735966099</v>
      </c>
    </row>
    <row r="95" spans="1:27">
      <c r="A95" s="112">
        <f>ROUNDDOWN(IF(N94-G95&gt;0,(IF(H94="AFIII",VLOOKUP(D95,Sheet1!$K$4:$S$19,5,FALSE),IF(H94="UBIII",VLOOKUP(D95,Sheet1!$K$4:$S$19,8,FALSE),VLOOKUP(D95,Sheet1!$K$4:$S$19,2,FALSE)))*1.2),IF(H94="AFIII",VLOOKUP(D95,Sheet1!$K$4:$S$19,5,FALSE),IF(H94="UBIII",VLOOKUP(D95,Sheet1!$K$4:$S$19,8,FALSE),VLOOKUP(D95,Sheet1!$K$4:$S$19,2,FALSE)))),0)</f>
        <v>518</v>
      </c>
      <c r="B95" s="113">
        <f t="shared" si="77"/>
        <v>36120</v>
      </c>
      <c r="C95" s="118">
        <f>C94+G95</f>
        <v>230.9400000000002</v>
      </c>
      <c r="D95" s="181" t="s">
        <v>129</v>
      </c>
      <c r="E95" s="182">
        <f>IF(H94="AFIII",VLOOKUP($D95,Sheet1!$A$34:$K$48,5,FALSE),IF(H94="UBIII",VLOOKUP($D95,Sheet1!$A$34:$K$48,8,FALSE),VLOOKUP($D95,Sheet1!$A$34:$K$48,2,FALSE)))</f>
        <v>2.39</v>
      </c>
      <c r="F95" s="182">
        <f>ROUNDDOWN((IF(H94="AFIII",VLOOKUP($D95,Sheet1!$A$34:$K$48,5,FALSE),IF(H94="UBIII",VLOOKUP($D95,Sheet1!$A$34:$K$48,8,FALSE),VLOOKUP($D95,Sheet1!$A$34:$K$48,2,FALSE))))*0.85,2)</f>
        <v>2.0299999999999998</v>
      </c>
      <c r="G95" s="182">
        <f t="shared" si="99"/>
        <v>2.0299999999999998</v>
      </c>
      <c r="H95" s="183" t="s">
        <v>84</v>
      </c>
      <c r="I95" s="182">
        <v>10</v>
      </c>
      <c r="K95" s="182">
        <f t="shared" si="106"/>
        <v>16.22</v>
      </c>
      <c r="L95" s="182">
        <f t="shared" si="107"/>
        <v>46.22</v>
      </c>
      <c r="M95" s="183" t="s">
        <v>100</v>
      </c>
      <c r="N95" s="182">
        <f t="shared" si="108"/>
        <v>8.6500000000000021</v>
      </c>
      <c r="O95" s="182">
        <f t="shared" si="104"/>
        <v>168.64999999999998</v>
      </c>
      <c r="R95" s="182">
        <f>R94-G95</f>
        <v>51.08</v>
      </c>
      <c r="S95" s="183" t="s">
        <v>87</v>
      </c>
      <c r="T95" s="182">
        <f t="shared" si="96"/>
        <v>11.76</v>
      </c>
      <c r="U95" s="184">
        <f t="shared" si="97"/>
        <v>71.759999999999962</v>
      </c>
      <c r="V95" s="201">
        <f>IF(H94="AFIII",VLOOKUP(D95,Sheet1!$A$4:$H$18,5,FALSE),IF(H94="UBIII",VLOOKUP(D95,Sheet1!$A$4:$H$18,8,FALSE),IF(H94="",VLOOKUP(D95,Sheet1!$A$4:$H$18,2,FALSE),"0")))</f>
        <v>0</v>
      </c>
      <c r="W95" s="201">
        <f t="shared" si="82"/>
        <v>0</v>
      </c>
      <c r="X95" s="208">
        <f>IF(M95="コンバート",(IF(D95="フレア",0,IF(X94-V95+W95&gt;$X$3,$X$3-V95,X94-V95+W95)))+$X$1,IF(D95="フレア",0,IF(X94-V95+W95&gt;$X$3,$X$3-V95,X94-V95+W95)))</f>
        <v>5132</v>
      </c>
      <c r="Y95" s="171" t="str">
        <f t="shared" si="84"/>
        <v>SUCCESS</v>
      </c>
      <c r="Z95" s="171" t="str">
        <f t="shared" si="85"/>
        <v>SUCCESS</v>
      </c>
      <c r="AA95" s="185">
        <f t="shared" si="98"/>
        <v>156.4042608469731</v>
      </c>
    </row>
    <row r="96" spans="1:27">
      <c r="A96" s="112">
        <f>ROUNDDOWN(IF(N95-G96&gt;0,(IF(H95="AFIII",VLOOKUP(D96,Sheet1!$K$4:$S$19,5,FALSE),IF(H95="UBIII",VLOOKUP(D96,Sheet1!$K$4:$S$19,8,FALSE),VLOOKUP(D96,Sheet1!$K$4:$S$19,2,FALSE)))*1.2),IF(H95="AFIII",VLOOKUP(D96,Sheet1!$K$4:$S$19,5,FALSE),IF(H95="UBIII",VLOOKUP(D96,Sheet1!$K$4:$S$19,8,FALSE),VLOOKUP(D96,Sheet1!$K$4:$S$19,2,FALSE)))),0)</f>
        <v>604</v>
      </c>
      <c r="B96" s="113">
        <f t="shared" si="77"/>
        <v>36724</v>
      </c>
      <c r="C96" s="118">
        <f>C95+G96</f>
        <v>233.3700000000002</v>
      </c>
      <c r="D96" s="181" t="s">
        <v>6</v>
      </c>
      <c r="E96" s="182">
        <f>IF(H95="AFIII",VLOOKUP($D96,Sheet1!$A$34:$K$48,5,FALSE),IF(H95="UBIII",VLOOKUP($D96,Sheet1!$A$34:$K$48,8,FALSE),VLOOKUP($D96,Sheet1!$A$34:$K$48,2,FALSE)))</f>
        <v>2.86</v>
      </c>
      <c r="F96" s="182">
        <f>ROUNDDOWN((IF(H95="AFIII",VLOOKUP($D96,Sheet1!$A$34:$K$48,5,FALSE),IF(H95="UBIII",VLOOKUP($D96,Sheet1!$A$34:$K$48,8,FALSE),VLOOKUP($D96,Sheet1!$A$34:$K$48,2,FALSE))))*0.85,2)</f>
        <v>2.4300000000000002</v>
      </c>
      <c r="G96" s="182">
        <f t="shared" si="99"/>
        <v>2.4300000000000002</v>
      </c>
      <c r="H96" s="183" t="s">
        <v>84</v>
      </c>
      <c r="I96" s="182">
        <f>I95-G96</f>
        <v>7.57</v>
      </c>
      <c r="K96" s="182">
        <f t="shared" si="106"/>
        <v>13.79</v>
      </c>
      <c r="L96" s="182">
        <f t="shared" si="107"/>
        <v>43.79</v>
      </c>
      <c r="N96" s="182">
        <f t="shared" si="108"/>
        <v>6.2200000000000024</v>
      </c>
      <c r="O96" s="182">
        <f t="shared" si="104"/>
        <v>166.21999999999997</v>
      </c>
      <c r="R96" s="182">
        <f>R95-G96</f>
        <v>48.65</v>
      </c>
      <c r="S96" s="183" t="s">
        <v>87</v>
      </c>
      <c r="T96" s="182">
        <f t="shared" si="96"/>
        <v>9.33</v>
      </c>
      <c r="U96" s="184">
        <f t="shared" si="97"/>
        <v>69.329999999999956</v>
      </c>
      <c r="V96" s="201">
        <f>IF(H95="AFIII",VLOOKUP(D96,Sheet1!$A$4:$H$18,5,FALSE),IF(H95="UBIII",VLOOKUP(D96,Sheet1!$A$4:$H$18,8,FALSE),IF(H95="",VLOOKUP(D96,Sheet1!$A$4:$H$18,2,FALSE),"0")))</f>
        <v>1768</v>
      </c>
      <c r="W96" s="201">
        <f t="shared" si="82"/>
        <v>0</v>
      </c>
      <c r="X96" s="208">
        <f t="shared" ref="X96:X123" si="109">IF(M96="コンバート",(IF(D96="フレア",0,IF(X95-V96+W96&gt;$X$3,$X$3-V96,X95-V96+W96)))+$X$1,IF(D96="フレア",0,IF(X95-V96+W96&gt;$X$3,$X$3-V96,X95-V96+W96)))</f>
        <v>3364</v>
      </c>
      <c r="Y96" s="171" t="str">
        <f t="shared" si="84"/>
        <v>SUCCESS</v>
      </c>
      <c r="Z96" s="171" t="str">
        <f t="shared" si="85"/>
        <v>SUCCESS</v>
      </c>
      <c r="AA96" s="185">
        <f t="shared" si="98"/>
        <v>157.36384282469885</v>
      </c>
    </row>
    <row r="97" spans="1:27">
      <c r="A97" s="112">
        <f>ROUNDDOWN(IF(N96-G97&gt;0,(IF(H96="AFIII",VLOOKUP(D97,Sheet1!$K$4:$S$19,5,FALSE),IF(H96="UBIII",VLOOKUP(D97,Sheet1!$K$4:$S$19,8,FALSE),VLOOKUP(D97,Sheet1!$K$4:$S$19,2,FALSE)))*1.2),IF(H96="AFIII",VLOOKUP(D97,Sheet1!$K$4:$S$19,5,FALSE),IF(H96="UBIII",VLOOKUP(D97,Sheet1!$K$4:$S$19,8,FALSE),VLOOKUP(D97,Sheet1!$K$4:$S$19,2,FALSE)))),0)</f>
        <v>604</v>
      </c>
      <c r="B97" s="113">
        <f t="shared" si="77"/>
        <v>37328</v>
      </c>
      <c r="C97" s="118">
        <f t="shared" ref="C97:C123" si="110">C96+G97</f>
        <v>235.80000000000021</v>
      </c>
      <c r="D97" s="181" t="s">
        <v>6</v>
      </c>
      <c r="E97" s="182">
        <f>IF(H96="AFIII",VLOOKUP($D97,Sheet1!$A$34:$K$48,5,FALSE),IF(H96="UBIII",VLOOKUP($D97,Sheet1!$A$34:$K$48,8,FALSE),VLOOKUP($D97,Sheet1!$A$34:$K$48,2,FALSE)))</f>
        <v>2.86</v>
      </c>
      <c r="F97" s="182">
        <f>ROUNDDOWN((IF(H96="AFIII",VLOOKUP($D97,Sheet1!$A$34:$K$48,5,FALSE),IF(H96="UBIII",VLOOKUP($D97,Sheet1!$A$34:$K$48,8,FALSE),VLOOKUP($D97,Sheet1!$A$34:$K$48,2,FALSE))))*0.85,2)</f>
        <v>2.4300000000000002</v>
      </c>
      <c r="G97" s="182">
        <f>IF(M96="迅速",IF(S96="黒魔紋",$F$1,$E$1),IF(S96="黒魔紋",IF(F97&lt;$F$1,$F$1,F97),IF(E97&lt;$E$1,$E$1,E97)))</f>
        <v>2.4300000000000002</v>
      </c>
      <c r="H97" s="183" t="s">
        <v>84</v>
      </c>
      <c r="I97" s="182">
        <f>I96-G97</f>
        <v>5.1400000000000006</v>
      </c>
      <c r="K97" s="182">
        <f t="shared" si="106"/>
        <v>11.36</v>
      </c>
      <c r="L97" s="182">
        <f t="shared" si="107"/>
        <v>41.36</v>
      </c>
      <c r="N97" s="182">
        <f t="shared" si="108"/>
        <v>3.7900000000000023</v>
      </c>
      <c r="O97" s="182">
        <f t="shared" si="104"/>
        <v>163.78999999999996</v>
      </c>
      <c r="R97" s="182">
        <f t="shared" ref="R97:R112" si="111">R96-G97</f>
        <v>46.22</v>
      </c>
      <c r="S97" s="183" t="s">
        <v>87</v>
      </c>
      <c r="T97" s="182">
        <f t="shared" si="96"/>
        <v>6.9</v>
      </c>
      <c r="U97" s="184">
        <f t="shared" si="97"/>
        <v>66.899999999999949</v>
      </c>
      <c r="V97" s="201">
        <f>IF(H96="AFIII",VLOOKUP(D97,Sheet1!$A$4:$H$18,5,FALSE),IF(H96="UBIII",VLOOKUP(D97,Sheet1!$A$4:$H$18,8,FALSE),IF(H96="",VLOOKUP(D97,Sheet1!$A$4:$H$18,2,FALSE),"0")))</f>
        <v>1768</v>
      </c>
      <c r="W97" s="201">
        <f t="shared" si="82"/>
        <v>0</v>
      </c>
      <c r="X97" s="208">
        <f t="shared" si="109"/>
        <v>1596</v>
      </c>
      <c r="Y97" s="171" t="str">
        <f t="shared" si="84"/>
        <v>SUCCESS</v>
      </c>
      <c r="Z97" s="171" t="str">
        <f t="shared" si="85"/>
        <v>SUCCESS</v>
      </c>
      <c r="AA97" s="185">
        <f t="shared" si="98"/>
        <v>158.30364715860884</v>
      </c>
    </row>
    <row r="98" spans="1:27">
      <c r="A98" s="112">
        <f>ROUNDDOWN(IF(N97-G98&gt;0,(IF(H97="AFIII",VLOOKUP(D98,Sheet1!$K$4:$S$19,5,FALSE),IF(H97="UBIII",VLOOKUP(D98,Sheet1!$K$4:$S$19,8,FALSE),VLOOKUP(D98,Sheet1!$K$4:$S$19,2,FALSE)))*1.2),IF(H97="AFIII",VLOOKUP(D98,Sheet1!$K$4:$S$19,5,FALSE),IF(H97="UBIII",VLOOKUP(D98,Sheet1!$K$4:$S$19,8,FALSE),VLOOKUP(D98,Sheet1!$K$4:$S$19,2,FALSE)))),0)</f>
        <v>201</v>
      </c>
      <c r="B98" s="113">
        <f t="shared" si="77"/>
        <v>37529</v>
      </c>
      <c r="C98" s="118">
        <f t="shared" si="110"/>
        <v>237.83000000000021</v>
      </c>
      <c r="D98" s="181" t="s">
        <v>12</v>
      </c>
      <c r="E98" s="182">
        <f>IF(H97="AFIII",VLOOKUP($D98,Sheet1!$A$34:$K$48,5,FALSE),IF(H97="UBIII",VLOOKUP($D98,Sheet1!$A$34:$K$48,8,FALSE),VLOOKUP($D98,Sheet1!$A$34:$K$48,2,FALSE)))</f>
        <v>1.67</v>
      </c>
      <c r="F98" s="182">
        <f>ROUNDDOWN((IF(H97="AFIII",VLOOKUP($D98,Sheet1!$A$34:$K$48,5,FALSE),IF(H97="UBIII",VLOOKUP($D98,Sheet1!$A$34:$K$48,8,FALSE),VLOOKUP($D98,Sheet1!$A$34:$K$48,2,FALSE))))*0.85,2)</f>
        <v>1.41</v>
      </c>
      <c r="G98" s="182">
        <f>IF(M97="迅速",IF(S97="黒魔紋",$F$1,$E$1),IF(S97="黒魔紋",IF(F98&lt;$F$1,$F$1,F98),IF(E98&lt;$E$1,$E$1,E98)))</f>
        <v>2.0299999999999998</v>
      </c>
      <c r="H98" s="183" t="s">
        <v>122</v>
      </c>
      <c r="I98" s="182">
        <v>10</v>
      </c>
      <c r="K98" s="182">
        <f t="shared" si="106"/>
        <v>9.33</v>
      </c>
      <c r="L98" s="182">
        <f t="shared" si="107"/>
        <v>39.33</v>
      </c>
      <c r="N98" s="182">
        <f t="shared" si="108"/>
        <v>1.7600000000000025</v>
      </c>
      <c r="O98" s="182">
        <f t="shared" si="104"/>
        <v>161.75999999999996</v>
      </c>
      <c r="R98" s="182">
        <f t="shared" si="111"/>
        <v>44.19</v>
      </c>
      <c r="S98" s="183" t="s">
        <v>87</v>
      </c>
      <c r="T98" s="182">
        <f t="shared" si="96"/>
        <v>4.870000000000001</v>
      </c>
      <c r="U98" s="184">
        <f t="shared" si="97"/>
        <v>64.869999999999948</v>
      </c>
      <c r="V98" s="201">
        <f>IF(H97="AFIII",VLOOKUP(D98,Sheet1!$A$4:$H$18,5,FALSE),IF(H97="UBIII",VLOOKUP(D98,Sheet1!$A$4:$H$18,8,FALSE),IF(H97="",VLOOKUP(D98,Sheet1!$A$4:$H$18,2,FALSE),"0")))</f>
        <v>265</v>
      </c>
      <c r="W98" s="201">
        <f t="shared" si="82"/>
        <v>0</v>
      </c>
      <c r="X98" s="208">
        <f t="shared" si="109"/>
        <v>1331</v>
      </c>
      <c r="Y98" s="171" t="str">
        <f t="shared" si="84"/>
        <v>SUCCESS</v>
      </c>
      <c r="Z98" s="171" t="str">
        <f t="shared" si="85"/>
        <v>SUCCESS</v>
      </c>
      <c r="AA98" s="185">
        <f t="shared" si="98"/>
        <v>157.79758651137354</v>
      </c>
    </row>
    <row r="99" spans="1:27">
      <c r="A99" s="112">
        <f>ROUNDDOWN(IF(N98-G99&gt;0,(IF(H98="AFIII",VLOOKUP(D99,Sheet1!$K$4:$S$19,5,FALSE),IF(H98="UBIII",VLOOKUP(D99,Sheet1!$K$4:$S$19,8,FALSE),VLOOKUP(D99,Sheet1!$K$4:$S$19,2,FALSE)))*1.2),IF(H98="AFIII",VLOOKUP(D99,Sheet1!$K$4:$S$19,5,FALSE),IF(H98="UBIII",VLOOKUP(D99,Sheet1!$K$4:$S$19,8,FALSE),VLOOKUP(D99,Sheet1!$K$4:$S$19,2,FALSE)))),0)</f>
        <v>295</v>
      </c>
      <c r="B99" s="113">
        <f t="shared" si="77"/>
        <v>37824</v>
      </c>
      <c r="C99" s="118">
        <f t="shared" si="110"/>
        <v>240.26000000000022</v>
      </c>
      <c r="D99" s="181" t="s">
        <v>19</v>
      </c>
      <c r="E99" s="182">
        <f>IF(H98="AFIII",VLOOKUP($D99,Sheet1!$A$34:$K$48,5,FALSE),IF(H98="UBIII",VLOOKUP($D99,Sheet1!$A$34:$K$48,8,FALSE),VLOOKUP($D99,Sheet1!$A$34:$K$48,2,FALSE)))</f>
        <v>2.86</v>
      </c>
      <c r="F99" s="182">
        <f>ROUNDDOWN((IF(H98="AFIII",VLOOKUP($D99,Sheet1!$A$34:$K$48,5,FALSE),IF(H98="UBIII",VLOOKUP($D99,Sheet1!$A$34:$K$48,8,FALSE),VLOOKUP($D99,Sheet1!$A$34:$K$48,2,FALSE))))*0.85,2)</f>
        <v>2.4300000000000002</v>
      </c>
      <c r="G99" s="182">
        <f>IF(M98="迅速",IF(S98="黒魔紋",$F$1,$E$1),IF(S98="黒魔紋",IF(F99&lt;$F$1,$F$1,F99),IF(E99&lt;$E$1,$E$1,E99)))</f>
        <v>2.4300000000000002</v>
      </c>
      <c r="H99" s="183" t="s">
        <v>122</v>
      </c>
      <c r="I99" s="182">
        <f t="shared" ref="I99:I100" si="112">I98-G99</f>
        <v>7.57</v>
      </c>
      <c r="K99" s="182">
        <f t="shared" si="106"/>
        <v>6.9</v>
      </c>
      <c r="L99" s="182">
        <f t="shared" si="107"/>
        <v>36.9</v>
      </c>
      <c r="N99" s="182">
        <f t="shared" si="108"/>
        <v>-0.66999999999999771</v>
      </c>
      <c r="O99" s="182">
        <f t="shared" si="104"/>
        <v>159.32999999999996</v>
      </c>
      <c r="P99" s="183" t="s">
        <v>17</v>
      </c>
      <c r="Q99" s="182">
        <v>21</v>
      </c>
      <c r="R99" s="182">
        <f t="shared" si="111"/>
        <v>41.76</v>
      </c>
      <c r="S99" s="183" t="s">
        <v>87</v>
      </c>
      <c r="T99" s="182">
        <f t="shared" si="96"/>
        <v>2.4400000000000008</v>
      </c>
      <c r="U99" s="184">
        <f t="shared" si="97"/>
        <v>62.439999999999948</v>
      </c>
      <c r="V99" s="201">
        <f>IF(H98="AFIII",VLOOKUP(D99,Sheet1!$A$4:$H$18,5,FALSE),IF(H98="UBIII",VLOOKUP(D99,Sheet1!$A$4:$H$18,8,FALSE),IF(H98="",VLOOKUP(D99,Sheet1!$A$4:$H$18,2,FALSE),"0")))</f>
        <v>1060</v>
      </c>
      <c r="W99" s="201">
        <f t="shared" si="82"/>
        <v>7033</v>
      </c>
      <c r="X99" s="208">
        <f t="shared" si="109"/>
        <v>7304</v>
      </c>
      <c r="Y99" s="171" t="str">
        <f t="shared" si="84"/>
        <v>SUCCESS</v>
      </c>
      <c r="Z99" s="171" t="str">
        <f t="shared" si="85"/>
        <v>SUCCESS</v>
      </c>
      <c r="AA99" s="185">
        <f t="shared" si="98"/>
        <v>157.42945142761994</v>
      </c>
    </row>
    <row r="100" spans="1:27">
      <c r="A100" s="119">
        <f>ROUNDDOWN(IF(N99-G100&gt;0,(IF(H99="AFIII",VLOOKUP(D100,Sheet1!$K$4:$S$19,5,FALSE),IF(H99="UBIII",VLOOKUP(D100,Sheet1!$K$4:$S$19,8,FALSE),VLOOKUP(D100,Sheet1!$K$4:$S$19,2,FALSE)))*1.2),IF(H99="AFIII",VLOOKUP(D100,Sheet1!$K$4:$S$19,5,FALSE),IF(H99="UBIII",VLOOKUP(D100,Sheet1!$K$4:$S$19,8,FALSE),VLOOKUP(D100,Sheet1!$K$4:$S$19,2,FALSE)))),0)</f>
        <v>280</v>
      </c>
      <c r="B100" s="120">
        <f t="shared" si="77"/>
        <v>38104</v>
      </c>
      <c r="C100" s="121">
        <f t="shared" si="110"/>
        <v>242.69000000000023</v>
      </c>
      <c r="D100" s="191" t="s">
        <v>14</v>
      </c>
      <c r="E100" s="192">
        <f>IF(H99="AFIII",VLOOKUP($D100,Sheet1!$A$34:$K$48,5,FALSE),IF(H99="UBIII",VLOOKUP($D100,Sheet1!$A$34:$K$48,8,FALSE),VLOOKUP($D100,Sheet1!$A$34:$K$48,2,FALSE)))</f>
        <v>2.86</v>
      </c>
      <c r="F100" s="192">
        <f>ROUNDDOWN((IF(H99="AFIII",VLOOKUP($D100,Sheet1!$A$34:$K$48,5,FALSE),IF(H99="UBIII",VLOOKUP($D100,Sheet1!$A$34:$K$48,8,FALSE),VLOOKUP($D100,Sheet1!$A$34:$K$48,2,FALSE))))*0.85,2)</f>
        <v>2.4300000000000002</v>
      </c>
      <c r="G100" s="192">
        <f t="shared" ref="G100:G140" si="113">IF(M99="迅速",IF(S99="黒魔紋",$F$1,$E$1),IF(S99="黒魔紋",IF(F100&lt;$F$1,$F$1,F100),IF(E100&lt;$E$1,$E$1,E100)))</f>
        <v>2.4300000000000002</v>
      </c>
      <c r="H100" s="193" t="s">
        <v>122</v>
      </c>
      <c r="I100" s="192">
        <f t="shared" si="112"/>
        <v>5.1400000000000006</v>
      </c>
      <c r="J100" s="193"/>
      <c r="K100" s="192">
        <v>25</v>
      </c>
      <c r="L100" s="192">
        <f t="shared" si="107"/>
        <v>34.47</v>
      </c>
      <c r="M100" s="193"/>
      <c r="N100" s="192"/>
      <c r="O100" s="192">
        <f t="shared" si="104"/>
        <v>156.89999999999995</v>
      </c>
      <c r="P100" s="193"/>
      <c r="Q100" s="192">
        <f>Q99-G100</f>
        <v>18.57</v>
      </c>
      <c r="R100" s="192">
        <f t="shared" si="111"/>
        <v>39.33</v>
      </c>
      <c r="S100" s="193" t="s">
        <v>87</v>
      </c>
      <c r="T100" s="192">
        <f t="shared" si="96"/>
        <v>1.0000000000000675E-2</v>
      </c>
      <c r="U100" s="194">
        <f t="shared" si="97"/>
        <v>60.009999999999948</v>
      </c>
      <c r="V100" s="211">
        <f>IF(H99="AFIII",VLOOKUP(D100,Sheet1!$A$4:$H$18,5,FALSE),IF(H99="UBIII",VLOOKUP(D100,Sheet1!$A$4:$H$18,8,FALSE),IF(H99="",VLOOKUP(D100,Sheet1!$A$4:$H$18,2,FALSE),"0")))</f>
        <v>884</v>
      </c>
      <c r="W100" s="211">
        <f t="shared" si="82"/>
        <v>7033</v>
      </c>
      <c r="X100" s="212">
        <f t="shared" si="109"/>
        <v>10475</v>
      </c>
      <c r="Y100" s="195" t="str">
        <f t="shared" si="84"/>
        <v>SUCCESS</v>
      </c>
      <c r="Z100" s="195" t="str">
        <f t="shared" si="85"/>
        <v>SUCCESS</v>
      </c>
      <c r="AA100" s="185">
        <f t="shared" si="98"/>
        <v>157.00688120647726</v>
      </c>
    </row>
    <row r="101" spans="1:27">
      <c r="A101" s="112">
        <f>ROUNDDOWN(IF(N100-G101&gt;0,(IF(H100="AFIII",VLOOKUP(D101,Sheet1!$K$4:$S$19,5,FALSE),IF(H100="UBIII",VLOOKUP(D101,Sheet1!$K$4:$S$19,8,FALSE),VLOOKUP(D101,Sheet1!$K$4:$S$19,2,FALSE)))*1.2),IF(H100="AFIII",VLOOKUP(D101,Sheet1!$K$4:$S$19,5,FALSE),IF(H100="UBIII",VLOOKUP(D101,Sheet1!$K$4:$S$19,8,FALSE),VLOOKUP(D101,Sheet1!$K$4:$S$19,2,FALSE)))),0)</f>
        <v>168</v>
      </c>
      <c r="B101" s="113">
        <f t="shared" si="77"/>
        <v>38272</v>
      </c>
      <c r="C101" s="118">
        <f t="shared" si="110"/>
        <v>244.72000000000023</v>
      </c>
      <c r="D101" s="181" t="s">
        <v>4</v>
      </c>
      <c r="E101" s="182">
        <f>IF(H100="AFIII",VLOOKUP($D101,Sheet1!$A$34:$K$48,5,FALSE),IF(H100="UBIII",VLOOKUP($D101,Sheet1!$A$34:$K$48,8,FALSE),VLOOKUP($D101,Sheet1!$A$34:$K$48,2,FALSE)))</f>
        <v>1.67</v>
      </c>
      <c r="F101" s="182">
        <f>ROUNDDOWN((IF(H100="AFIII",VLOOKUP($D101,Sheet1!$A$34:$K$48,5,FALSE),IF(H100="UBIII",VLOOKUP($D101,Sheet1!$A$34:$K$48,8,FALSE),VLOOKUP($D101,Sheet1!$A$34:$K$48,2,FALSE))))*0.85,2)</f>
        <v>1.41</v>
      </c>
      <c r="G101" s="182">
        <f t="shared" si="113"/>
        <v>2.0299999999999998</v>
      </c>
      <c r="H101" s="183" t="s">
        <v>84</v>
      </c>
      <c r="I101" s="182">
        <v>10</v>
      </c>
      <c r="K101" s="182">
        <f>K100-G101</f>
        <v>22.97</v>
      </c>
      <c r="L101" s="182">
        <f t="shared" si="107"/>
        <v>32.44</v>
      </c>
      <c r="O101" s="182">
        <f t="shared" si="104"/>
        <v>154.86999999999995</v>
      </c>
      <c r="Q101" s="182">
        <f t="shared" ref="Q101:Q107" si="114">Q100-G101</f>
        <v>16.54</v>
      </c>
      <c r="R101" s="182">
        <f t="shared" si="111"/>
        <v>37.299999999999997</v>
      </c>
      <c r="T101" s="182">
        <f t="shared" si="96"/>
        <v>-2.0199999999999991</v>
      </c>
      <c r="U101" s="184">
        <f t="shared" si="97"/>
        <v>57.979999999999947</v>
      </c>
      <c r="V101" s="201">
        <f>IF(H100="AFIII",VLOOKUP(D101,Sheet1!$A$4:$H$18,5,FALSE),IF(H100="UBIII",VLOOKUP(D101,Sheet1!$A$4:$H$18,8,FALSE),IF(H100="",VLOOKUP(D101,Sheet1!$A$4:$H$18,2,FALSE),"0")))</f>
        <v>442</v>
      </c>
      <c r="W101" s="201">
        <f t="shared" si="82"/>
        <v>7033</v>
      </c>
      <c r="X101" s="208">
        <f t="shared" si="109"/>
        <v>10917</v>
      </c>
      <c r="Y101" s="171" t="str">
        <f t="shared" si="84"/>
        <v>SUCCESS</v>
      </c>
      <c r="Z101" s="171" t="str">
        <f t="shared" si="85"/>
        <v>SUCCESS</v>
      </c>
      <c r="AA101" s="185">
        <f t="shared" si="98"/>
        <v>156.39097744360888</v>
      </c>
    </row>
    <row r="102" spans="1:27">
      <c r="A102" s="112">
        <f>ROUNDDOWN(IF(N101-G102&gt;0,(IF(H101="AFIII",VLOOKUP(D102,Sheet1!$K$4:$S$19,5,FALSE),IF(H101="UBIII",VLOOKUP(D102,Sheet1!$K$4:$S$19,8,FALSE),VLOOKUP(D102,Sheet1!$K$4:$S$19,2,FALSE)))*1.2),IF(H101="AFIII",VLOOKUP(D102,Sheet1!$K$4:$S$19,5,FALSE),IF(H101="UBIII",VLOOKUP(D102,Sheet1!$K$4:$S$19,8,FALSE),VLOOKUP(D102,Sheet1!$K$4:$S$19,2,FALSE)))),0)</f>
        <v>504</v>
      </c>
      <c r="B102" s="113">
        <f t="shared" si="77"/>
        <v>38776</v>
      </c>
      <c r="C102" s="118">
        <f t="shared" si="110"/>
        <v>247.58000000000024</v>
      </c>
      <c r="D102" s="181" t="s">
        <v>6</v>
      </c>
      <c r="E102" s="182">
        <f>IF(H101="AFIII",VLOOKUP($D102,Sheet1!$A$34:$K$48,5,FALSE),IF(H101="UBIII",VLOOKUP($D102,Sheet1!$A$34:$K$48,8,FALSE),VLOOKUP($D102,Sheet1!$A$34:$K$48,2,FALSE)))</f>
        <v>2.86</v>
      </c>
      <c r="F102" s="182">
        <f>ROUNDDOWN((IF(H101="AFIII",VLOOKUP($D102,Sheet1!$A$34:$K$48,5,FALSE),IF(H101="UBIII",VLOOKUP($D102,Sheet1!$A$34:$K$48,8,FALSE),VLOOKUP($D102,Sheet1!$A$34:$K$48,2,FALSE))))*0.85,2)</f>
        <v>2.4300000000000002</v>
      </c>
      <c r="G102" s="182">
        <f t="shared" si="113"/>
        <v>2.86</v>
      </c>
      <c r="H102" s="183" t="s">
        <v>84</v>
      </c>
      <c r="I102" s="182">
        <f>I101-G102</f>
        <v>7.1400000000000006</v>
      </c>
      <c r="K102" s="182">
        <f t="shared" ref="K102:K108" si="115">K101-G102</f>
        <v>20.11</v>
      </c>
      <c r="L102" s="182">
        <f t="shared" si="107"/>
        <v>29.58</v>
      </c>
      <c r="O102" s="182">
        <f t="shared" si="104"/>
        <v>152.00999999999993</v>
      </c>
      <c r="Q102" s="182">
        <f t="shared" si="114"/>
        <v>13.68</v>
      </c>
      <c r="R102" s="182">
        <f t="shared" si="111"/>
        <v>34.44</v>
      </c>
      <c r="T102" s="182">
        <f t="shared" si="96"/>
        <v>-4.879999999999999</v>
      </c>
      <c r="U102" s="184">
        <f t="shared" si="97"/>
        <v>55.119999999999948</v>
      </c>
      <c r="V102" s="201">
        <f>IF(H101="AFIII",VLOOKUP(D102,Sheet1!$A$4:$H$18,5,FALSE),IF(H101="UBIII",VLOOKUP(D102,Sheet1!$A$4:$H$18,8,FALSE),IF(H101="",VLOOKUP(D102,Sheet1!$A$4:$H$18,2,FALSE),"0")))</f>
        <v>1768</v>
      </c>
      <c r="W102" s="201">
        <f t="shared" si="82"/>
        <v>0</v>
      </c>
      <c r="X102" s="208">
        <f t="shared" si="109"/>
        <v>9149</v>
      </c>
      <c r="Y102" s="171" t="str">
        <f t="shared" si="84"/>
        <v>SUCCESS</v>
      </c>
      <c r="Z102" s="171" t="str">
        <f t="shared" si="85"/>
        <v>SUCCESS</v>
      </c>
      <c r="AA102" s="185">
        <f t="shared" si="98"/>
        <v>156.62008239760871</v>
      </c>
    </row>
    <row r="103" spans="1:27">
      <c r="A103" s="112">
        <f>ROUNDDOWN(IF(N102-G103&gt;0,(IF(H102="AFIII",VLOOKUP(D103,Sheet1!$K$4:$S$19,5,FALSE),IF(H102="UBIII",VLOOKUP(D103,Sheet1!$K$4:$S$19,8,FALSE),VLOOKUP(D103,Sheet1!$K$4:$S$19,2,FALSE)))*1.2),IF(H102="AFIII",VLOOKUP(D103,Sheet1!$K$4:$S$19,5,FALSE),IF(H102="UBIII",VLOOKUP(D103,Sheet1!$K$4:$S$19,8,FALSE),VLOOKUP(D103,Sheet1!$K$4:$S$19,2,FALSE)))),0)</f>
        <v>504</v>
      </c>
      <c r="B103" s="113">
        <f t="shared" si="77"/>
        <v>39280</v>
      </c>
      <c r="C103" s="118">
        <f t="shared" si="110"/>
        <v>250.44000000000025</v>
      </c>
      <c r="D103" s="181" t="s">
        <v>6</v>
      </c>
      <c r="E103" s="182">
        <f>IF(H102="AFIII",VLOOKUP($D103,Sheet1!$A$34:$K$48,5,FALSE),IF(H102="UBIII",VLOOKUP($D103,Sheet1!$A$34:$K$48,8,FALSE),VLOOKUP($D103,Sheet1!$A$34:$K$48,2,FALSE)))</f>
        <v>2.86</v>
      </c>
      <c r="F103" s="182">
        <f>ROUNDDOWN((IF(H102="AFIII",VLOOKUP($D103,Sheet1!$A$34:$K$48,5,FALSE),IF(H102="UBIII",VLOOKUP($D103,Sheet1!$A$34:$K$48,8,FALSE),VLOOKUP($D103,Sheet1!$A$34:$K$48,2,FALSE))))*0.85,2)</f>
        <v>2.4300000000000002</v>
      </c>
      <c r="G103" s="182">
        <f t="shared" si="113"/>
        <v>2.86</v>
      </c>
      <c r="H103" s="183" t="s">
        <v>84</v>
      </c>
      <c r="I103" s="182">
        <f>I102-G103</f>
        <v>4.2800000000000011</v>
      </c>
      <c r="K103" s="182">
        <f t="shared" si="115"/>
        <v>17.25</v>
      </c>
      <c r="L103" s="182">
        <f t="shared" si="107"/>
        <v>26.72</v>
      </c>
      <c r="O103" s="182">
        <f t="shared" si="104"/>
        <v>149.14999999999992</v>
      </c>
      <c r="Q103" s="182">
        <f t="shared" si="114"/>
        <v>10.82</v>
      </c>
      <c r="R103" s="182">
        <f t="shared" si="111"/>
        <v>31.58</v>
      </c>
      <c r="U103" s="184">
        <f t="shared" si="97"/>
        <v>52.259999999999948</v>
      </c>
      <c r="V103" s="201">
        <f>IF(H102="AFIII",VLOOKUP(D103,Sheet1!$A$4:$H$18,5,FALSE),IF(H102="UBIII",VLOOKUP(D103,Sheet1!$A$4:$H$18,8,FALSE),IF(H102="",VLOOKUP(D103,Sheet1!$A$4:$H$18,2,FALSE),"0")))</f>
        <v>1768</v>
      </c>
      <c r="W103" s="201">
        <f t="shared" si="82"/>
        <v>0</v>
      </c>
      <c r="X103" s="208">
        <f t="shared" si="109"/>
        <v>7381</v>
      </c>
      <c r="Y103" s="171" t="str">
        <f t="shared" si="84"/>
        <v>SUCCESS</v>
      </c>
      <c r="Z103" s="171" t="str">
        <f t="shared" si="85"/>
        <v>SUCCESS</v>
      </c>
      <c r="AA103" s="185">
        <f t="shared" si="98"/>
        <v>156.84395463983373</v>
      </c>
    </row>
    <row r="104" spans="1:27">
      <c r="A104" s="112">
        <f>ROUNDDOWN(IF(N103-G104&gt;0,(IF(H103="AFIII",VLOOKUP(D104,Sheet1!$K$4:$S$19,5,FALSE),IF(H103="UBIII",VLOOKUP(D104,Sheet1!$K$4:$S$19,8,FALSE),VLOOKUP(D104,Sheet1!$K$4:$S$19,2,FALSE)))*1.2),IF(H103="AFIII",VLOOKUP(D104,Sheet1!$K$4:$S$19,5,FALSE),IF(H103="UBIII",VLOOKUP(D104,Sheet1!$K$4:$S$19,8,FALSE),VLOOKUP(D104,Sheet1!$K$4:$S$19,2,FALSE)))),0)</f>
        <v>324</v>
      </c>
      <c r="B104" s="113">
        <f t="shared" si="77"/>
        <v>39604</v>
      </c>
      <c r="C104" s="118">
        <f t="shared" si="110"/>
        <v>252.83000000000024</v>
      </c>
      <c r="D104" s="181" t="s">
        <v>1</v>
      </c>
      <c r="E104" s="182">
        <f>IF(H103="AFIII",VLOOKUP($D104,Sheet1!$A$34:$K$48,5,FALSE),IF(H103="UBIII",VLOOKUP($D104,Sheet1!$A$34:$K$48,8,FALSE),VLOOKUP($D104,Sheet1!$A$34:$K$48,2,FALSE)))</f>
        <v>2.39</v>
      </c>
      <c r="F104" s="182">
        <f>ROUNDDOWN((IF(H103="AFIII",VLOOKUP($D104,Sheet1!$A$34:$K$48,5,FALSE),IF(H103="UBIII",VLOOKUP($D104,Sheet1!$A$34:$K$48,8,FALSE),VLOOKUP($D104,Sheet1!$A$34:$K$48,2,FALSE))))*0.85,2)</f>
        <v>2.0299999999999998</v>
      </c>
      <c r="G104" s="182">
        <f t="shared" si="113"/>
        <v>2.39</v>
      </c>
      <c r="H104" s="183" t="s">
        <v>84</v>
      </c>
      <c r="I104" s="182">
        <v>10</v>
      </c>
      <c r="K104" s="182">
        <f t="shared" si="115"/>
        <v>14.86</v>
      </c>
      <c r="L104" s="182">
        <f t="shared" si="107"/>
        <v>24.33</v>
      </c>
      <c r="O104" s="182">
        <f t="shared" si="104"/>
        <v>146.75999999999993</v>
      </c>
      <c r="Q104" s="182">
        <f t="shared" si="114"/>
        <v>8.43</v>
      </c>
      <c r="R104" s="182">
        <f t="shared" si="111"/>
        <v>29.189999999999998</v>
      </c>
      <c r="U104" s="184">
        <f t="shared" si="97"/>
        <v>49.869999999999948</v>
      </c>
      <c r="V104" s="201">
        <f>IF(H103="AFIII",VLOOKUP(D104,Sheet1!$A$4:$H$18,5,FALSE),IF(H103="UBIII",VLOOKUP(D104,Sheet1!$A$4:$H$18,8,FALSE),IF(H103="",VLOOKUP(D104,Sheet1!$A$4:$H$18,2,FALSE),"0")))</f>
        <v>2120</v>
      </c>
      <c r="W104" s="201">
        <f t="shared" si="82"/>
        <v>0</v>
      </c>
      <c r="X104" s="208">
        <f t="shared" si="109"/>
        <v>5261</v>
      </c>
      <c r="Y104" s="171" t="str">
        <f t="shared" si="84"/>
        <v>SUCCESS</v>
      </c>
      <c r="Z104" s="171" t="str">
        <f t="shared" si="85"/>
        <v>SUCCESS</v>
      </c>
      <c r="AA104" s="185">
        <f t="shared" si="98"/>
        <v>156.64280346477855</v>
      </c>
    </row>
    <row r="105" spans="1:27">
      <c r="A105" s="112">
        <f>ROUNDDOWN(IF(N104-G105&gt;0,(IF(H104="AFIII",VLOOKUP(D105,Sheet1!$K$4:$S$19,5,FALSE),IF(H104="UBIII",VLOOKUP(D105,Sheet1!$K$4:$S$19,8,FALSE),VLOOKUP(D105,Sheet1!$K$4:$S$19,2,FALSE)))*1.2),IF(H104="AFIII",VLOOKUP(D105,Sheet1!$K$4:$S$19,5,FALSE),IF(H104="UBIII",VLOOKUP(D105,Sheet1!$K$4:$S$19,8,FALSE),VLOOKUP(D105,Sheet1!$K$4:$S$19,2,FALSE)))),0)</f>
        <v>504</v>
      </c>
      <c r="B105" s="113">
        <f t="shared" si="77"/>
        <v>40108</v>
      </c>
      <c r="C105" s="118">
        <f t="shared" si="110"/>
        <v>255.69000000000025</v>
      </c>
      <c r="D105" s="181" t="s">
        <v>6</v>
      </c>
      <c r="E105" s="182">
        <f>IF(H104="AFIII",VLOOKUP($D105,Sheet1!$A$34:$K$48,5,FALSE),IF(H104="UBIII",VLOOKUP($D105,Sheet1!$A$34:$K$48,8,FALSE),VLOOKUP($D105,Sheet1!$A$34:$K$48,2,FALSE)))</f>
        <v>2.86</v>
      </c>
      <c r="F105" s="182">
        <f>ROUNDDOWN((IF(H104="AFIII",VLOOKUP($D105,Sheet1!$A$34:$K$48,5,FALSE),IF(H104="UBIII",VLOOKUP($D105,Sheet1!$A$34:$K$48,8,FALSE),VLOOKUP($D105,Sheet1!$A$34:$K$48,2,FALSE))))*0.85,2)</f>
        <v>2.4300000000000002</v>
      </c>
      <c r="G105" s="182">
        <f t="shared" si="113"/>
        <v>2.86</v>
      </c>
      <c r="H105" s="183" t="s">
        <v>84</v>
      </c>
      <c r="I105" s="182">
        <f>I104-G105</f>
        <v>7.1400000000000006</v>
      </c>
      <c r="K105" s="182">
        <f t="shared" si="115"/>
        <v>12</v>
      </c>
      <c r="L105" s="182">
        <f t="shared" si="107"/>
        <v>21.47</v>
      </c>
      <c r="O105" s="182">
        <f t="shared" si="104"/>
        <v>143.89999999999992</v>
      </c>
      <c r="Q105" s="182">
        <f t="shared" si="114"/>
        <v>5.57</v>
      </c>
      <c r="R105" s="182">
        <f t="shared" si="111"/>
        <v>26.33</v>
      </c>
      <c r="U105" s="184">
        <f t="shared" si="97"/>
        <v>47.009999999999948</v>
      </c>
      <c r="V105" s="201">
        <f>IF(H104="AFIII",VLOOKUP(D105,Sheet1!$A$4:$H$18,5,FALSE),IF(H104="UBIII",VLOOKUP(D105,Sheet1!$A$4:$H$18,8,FALSE),IF(H104="",VLOOKUP(D105,Sheet1!$A$4:$H$18,2,FALSE),"0")))</f>
        <v>1768</v>
      </c>
      <c r="W105" s="201">
        <f t="shared" si="82"/>
        <v>0</v>
      </c>
      <c r="X105" s="208">
        <f t="shared" si="109"/>
        <v>3493</v>
      </c>
      <c r="Y105" s="171" t="str">
        <f t="shared" si="84"/>
        <v>SUCCESS</v>
      </c>
      <c r="Z105" s="171" t="str">
        <f t="shared" si="85"/>
        <v>SUCCESS</v>
      </c>
      <c r="AA105" s="185">
        <f t="shared" si="98"/>
        <v>156.86182486604858</v>
      </c>
    </row>
    <row r="106" spans="1:27">
      <c r="A106" s="112">
        <f>ROUNDDOWN(IF(N105-G106&gt;0,(IF(H105="AFIII",VLOOKUP(D106,Sheet1!$K$4:$S$19,5,FALSE),IF(H105="UBIII",VLOOKUP(D106,Sheet1!$K$4:$S$19,8,FALSE),VLOOKUP(D106,Sheet1!$K$4:$S$19,2,FALSE)))*1.2),IF(H105="AFIII",VLOOKUP(D106,Sheet1!$K$4:$S$19,5,FALSE),IF(H105="UBIII",VLOOKUP(D106,Sheet1!$K$4:$S$19,8,FALSE),VLOOKUP(D106,Sheet1!$K$4:$S$19,2,FALSE)))),0)</f>
        <v>504</v>
      </c>
      <c r="B106" s="113">
        <f t="shared" si="77"/>
        <v>40612</v>
      </c>
      <c r="C106" s="118">
        <f t="shared" si="110"/>
        <v>258.55000000000024</v>
      </c>
      <c r="D106" s="181" t="s">
        <v>6</v>
      </c>
      <c r="E106" s="182">
        <f>IF(H105="AFIII",VLOOKUP($D106,Sheet1!$A$34:$K$48,5,FALSE),IF(H105="UBIII",VLOOKUP($D106,Sheet1!$A$34:$K$48,8,FALSE),VLOOKUP($D106,Sheet1!$A$34:$K$48,2,FALSE)))</f>
        <v>2.86</v>
      </c>
      <c r="F106" s="182">
        <f>ROUNDDOWN((IF(H105="AFIII",VLOOKUP($D106,Sheet1!$A$34:$K$48,5,FALSE),IF(H105="UBIII",VLOOKUP($D106,Sheet1!$A$34:$K$48,8,FALSE),VLOOKUP($D106,Sheet1!$A$34:$K$48,2,FALSE))))*0.85,2)</f>
        <v>2.4300000000000002</v>
      </c>
      <c r="G106" s="182">
        <f t="shared" si="113"/>
        <v>2.86</v>
      </c>
      <c r="H106" s="183" t="s">
        <v>84</v>
      </c>
      <c r="I106" s="182">
        <f>I105-G106</f>
        <v>4.2800000000000011</v>
      </c>
      <c r="K106" s="182">
        <f t="shared" si="115"/>
        <v>9.14</v>
      </c>
      <c r="L106" s="182">
        <f t="shared" si="107"/>
        <v>18.61</v>
      </c>
      <c r="O106" s="182">
        <f t="shared" si="104"/>
        <v>141.03999999999991</v>
      </c>
      <c r="Q106" s="182">
        <f t="shared" si="114"/>
        <v>2.7100000000000004</v>
      </c>
      <c r="R106" s="182">
        <f t="shared" si="111"/>
        <v>23.47</v>
      </c>
      <c r="U106" s="184">
        <f t="shared" si="97"/>
        <v>44.149999999999949</v>
      </c>
      <c r="V106" s="201">
        <f>IF(H105="AFIII",VLOOKUP(D106,Sheet1!$A$4:$H$18,5,FALSE),IF(H105="UBIII",VLOOKUP(D106,Sheet1!$A$4:$H$18,8,FALSE),IF(H105="",VLOOKUP(D106,Sheet1!$A$4:$H$18,2,FALSE),"0")))</f>
        <v>1768</v>
      </c>
      <c r="W106" s="201">
        <f t="shared" si="82"/>
        <v>0</v>
      </c>
      <c r="X106" s="208">
        <f t="shared" si="109"/>
        <v>1725</v>
      </c>
      <c r="Y106" s="171" t="str">
        <f t="shared" si="84"/>
        <v>SUCCESS</v>
      </c>
      <c r="Z106" s="171" t="str">
        <f t="shared" si="85"/>
        <v>SUCCESS</v>
      </c>
      <c r="AA106" s="185">
        <f t="shared" si="98"/>
        <v>157.07600077354462</v>
      </c>
    </row>
    <row r="107" spans="1:27">
      <c r="A107" s="112">
        <f>ROUNDDOWN(IF(N106-G107&gt;0,(IF(H106="AFIII",VLOOKUP(D107,Sheet1!$K$4:$S$19,5,FALSE),IF(H106="UBIII",VLOOKUP(D107,Sheet1!$K$4:$S$19,8,FALSE),VLOOKUP(D107,Sheet1!$K$4:$S$19,2,FALSE)))*1.2),IF(H106="AFIII",VLOOKUP(D107,Sheet1!$K$4:$S$19,5,FALSE),IF(H106="UBIII",VLOOKUP(D107,Sheet1!$K$4:$S$19,8,FALSE),VLOOKUP(D107,Sheet1!$K$4:$S$19,2,FALSE)))),0)</f>
        <v>168</v>
      </c>
      <c r="B107" s="113">
        <f t="shared" si="77"/>
        <v>40780</v>
      </c>
      <c r="C107" s="118">
        <f t="shared" si="110"/>
        <v>260.94000000000023</v>
      </c>
      <c r="D107" s="181" t="s">
        <v>12</v>
      </c>
      <c r="E107" s="182">
        <f>IF(H106="AFIII",VLOOKUP($D107,Sheet1!$A$34:$K$48,5,FALSE),IF(H106="UBIII",VLOOKUP($D107,Sheet1!$A$34:$K$48,8,FALSE),VLOOKUP($D107,Sheet1!$A$34:$K$48,2,FALSE)))</f>
        <v>1.67</v>
      </c>
      <c r="F107" s="182">
        <f>ROUNDDOWN((IF(H106="AFIII",VLOOKUP($D107,Sheet1!$A$34:$K$48,5,FALSE),IF(H106="UBIII",VLOOKUP($D107,Sheet1!$A$34:$K$48,8,FALSE),VLOOKUP($D107,Sheet1!$A$34:$K$48,2,FALSE))))*0.85,2)</f>
        <v>1.41</v>
      </c>
      <c r="G107" s="182">
        <f t="shared" si="113"/>
        <v>2.39</v>
      </c>
      <c r="H107" s="183" t="s">
        <v>122</v>
      </c>
      <c r="I107" s="182">
        <v>10</v>
      </c>
      <c r="K107" s="182">
        <f t="shared" si="115"/>
        <v>6.75</v>
      </c>
      <c r="L107" s="182">
        <f t="shared" si="107"/>
        <v>16.22</v>
      </c>
      <c r="O107" s="182">
        <f t="shared" si="104"/>
        <v>138.64999999999992</v>
      </c>
      <c r="Q107" s="182">
        <f t="shared" si="114"/>
        <v>0.32000000000000028</v>
      </c>
      <c r="R107" s="182">
        <f t="shared" si="111"/>
        <v>21.08</v>
      </c>
      <c r="U107" s="184">
        <f t="shared" si="97"/>
        <v>41.759999999999948</v>
      </c>
      <c r="V107" s="201">
        <f>IF(H106="AFIII",VLOOKUP(D107,Sheet1!$A$4:$H$18,5,FALSE),IF(H106="UBIII",VLOOKUP(D107,Sheet1!$A$4:$H$18,8,FALSE),IF(H106="",VLOOKUP(D107,Sheet1!$A$4:$H$18,2,FALSE),"0")))</f>
        <v>265</v>
      </c>
      <c r="W107" s="201">
        <f t="shared" si="82"/>
        <v>0</v>
      </c>
      <c r="X107" s="208">
        <f t="shared" si="109"/>
        <v>1460</v>
      </c>
      <c r="Y107" s="171" t="str">
        <f t="shared" si="84"/>
        <v>SUCCESS</v>
      </c>
      <c r="Z107" s="171" t="str">
        <f t="shared" si="85"/>
        <v>SUCCESS</v>
      </c>
      <c r="AA107" s="185">
        <f t="shared" si="98"/>
        <v>156.28113742622813</v>
      </c>
    </row>
    <row r="108" spans="1:27">
      <c r="A108" s="112">
        <f>ROUNDDOWN(IF(N107-G108&gt;0,(IF(H107="AFIII",VLOOKUP(D108,Sheet1!$K$4:$S$19,5,FALSE),IF(H107="UBIII",VLOOKUP(D108,Sheet1!$K$4:$S$19,8,FALSE),VLOOKUP(D108,Sheet1!$K$4:$S$19,2,FALSE)))*1.2),IF(H107="AFIII",VLOOKUP(D108,Sheet1!$K$4:$S$19,5,FALSE),IF(H107="UBIII",VLOOKUP(D108,Sheet1!$K$4:$S$19,8,FALSE),VLOOKUP(D108,Sheet1!$K$4:$S$19,2,FALSE)))),0)</f>
        <v>295</v>
      </c>
      <c r="B108" s="113">
        <f t="shared" si="77"/>
        <v>41075</v>
      </c>
      <c r="C108" s="118">
        <f t="shared" si="110"/>
        <v>263.80000000000024</v>
      </c>
      <c r="D108" s="181" t="s">
        <v>19</v>
      </c>
      <c r="E108" s="182">
        <f>IF(H107="AFIII",VLOOKUP($D108,Sheet1!$A$34:$K$48,5,FALSE),IF(H107="UBIII",VLOOKUP($D108,Sheet1!$A$34:$K$48,8,FALSE),VLOOKUP($D108,Sheet1!$A$34:$K$48,2,FALSE)))</f>
        <v>2.86</v>
      </c>
      <c r="F108" s="182">
        <f>ROUNDDOWN((IF(H107="AFIII",VLOOKUP($D108,Sheet1!$A$34:$K$48,5,FALSE),IF(H107="UBIII",VLOOKUP($D108,Sheet1!$A$34:$K$48,8,FALSE),VLOOKUP($D108,Sheet1!$A$34:$K$48,2,FALSE))))*0.85,2)</f>
        <v>2.4300000000000002</v>
      </c>
      <c r="G108" s="182">
        <f t="shared" si="113"/>
        <v>2.86</v>
      </c>
      <c r="H108" s="183" t="s">
        <v>122</v>
      </c>
      <c r="I108" s="182">
        <f>I107-G108</f>
        <v>7.1400000000000006</v>
      </c>
      <c r="K108" s="182">
        <f t="shared" si="115"/>
        <v>3.89</v>
      </c>
      <c r="L108" s="182">
        <f t="shared" si="107"/>
        <v>13.36</v>
      </c>
      <c r="O108" s="182">
        <f t="shared" si="104"/>
        <v>135.78999999999991</v>
      </c>
      <c r="P108" s="183" t="s">
        <v>251</v>
      </c>
      <c r="Q108" s="182">
        <v>21</v>
      </c>
      <c r="R108" s="182">
        <f t="shared" si="111"/>
        <v>18.22</v>
      </c>
      <c r="U108" s="184">
        <f t="shared" si="97"/>
        <v>38.899999999999949</v>
      </c>
      <c r="V108" s="201">
        <f>IF(H107="AFIII",VLOOKUP(D108,Sheet1!$A$4:$H$18,5,FALSE),IF(H107="UBIII",VLOOKUP(D108,Sheet1!$A$4:$H$18,8,FALSE),IF(H107="",VLOOKUP(D108,Sheet1!$A$4:$H$18,2,FALSE),"0")))</f>
        <v>1060</v>
      </c>
      <c r="W108" s="201">
        <f t="shared" si="82"/>
        <v>7033</v>
      </c>
      <c r="X108" s="208">
        <f t="shared" si="109"/>
        <v>7433</v>
      </c>
      <c r="Y108" s="171" t="str">
        <f t="shared" si="84"/>
        <v>SUCCESS</v>
      </c>
      <c r="Z108" s="171" t="str">
        <f t="shared" si="85"/>
        <v>SUCCESS</v>
      </c>
      <c r="AA108" s="185">
        <f t="shared" si="98"/>
        <v>155.7050796057618</v>
      </c>
    </row>
    <row r="109" spans="1:27">
      <c r="A109" s="119">
        <f>ROUNDDOWN(IF(N108-G109&gt;0,(IF(H108="AFIII",VLOOKUP(D109,Sheet1!$K$4:$S$19,5,FALSE),IF(H108="UBIII",VLOOKUP(D109,Sheet1!$K$4:$S$19,8,FALSE),VLOOKUP(D109,Sheet1!$K$4:$S$19,2,FALSE)))*1.2),IF(H108="AFIII",VLOOKUP(D109,Sheet1!$K$4:$S$19,5,FALSE),IF(H108="UBIII",VLOOKUP(D109,Sheet1!$K$4:$S$19,8,FALSE),VLOOKUP(D109,Sheet1!$K$4:$S$19,2,FALSE)))),0)</f>
        <v>280</v>
      </c>
      <c r="B109" s="120">
        <f t="shared" si="77"/>
        <v>41355</v>
      </c>
      <c r="C109" s="121">
        <f t="shared" si="110"/>
        <v>266.66000000000025</v>
      </c>
      <c r="D109" s="191" t="s">
        <v>14</v>
      </c>
      <c r="E109" s="192">
        <f>IF(H108="AFIII",VLOOKUP($D109,Sheet1!$A$34:$K$48,5,FALSE),IF(H108="UBIII",VLOOKUP($D109,Sheet1!$A$34:$K$48,8,FALSE),VLOOKUP($D109,Sheet1!$A$34:$K$48,2,FALSE)))</f>
        <v>2.86</v>
      </c>
      <c r="F109" s="192">
        <f>ROUNDDOWN((IF(H108="AFIII",VLOOKUP($D109,Sheet1!$A$34:$K$48,5,FALSE),IF(H108="UBIII",VLOOKUP($D109,Sheet1!$A$34:$K$48,8,FALSE),VLOOKUP($D109,Sheet1!$A$34:$K$48,2,FALSE))))*0.85,2)</f>
        <v>2.4300000000000002</v>
      </c>
      <c r="G109" s="192">
        <f t="shared" si="113"/>
        <v>2.86</v>
      </c>
      <c r="H109" s="193" t="s">
        <v>122</v>
      </c>
      <c r="I109" s="192">
        <f>I108-G109</f>
        <v>4.2800000000000011</v>
      </c>
      <c r="J109" s="193"/>
      <c r="K109" s="192">
        <v>20</v>
      </c>
      <c r="L109" s="192">
        <f t="shared" si="107"/>
        <v>10.5</v>
      </c>
      <c r="M109" s="193"/>
      <c r="N109" s="192"/>
      <c r="O109" s="192">
        <f t="shared" si="104"/>
        <v>132.92999999999989</v>
      </c>
      <c r="P109" s="193"/>
      <c r="Q109" s="192">
        <f t="shared" ref="Q109:Q116" si="116">Q108-G109</f>
        <v>18.14</v>
      </c>
      <c r="R109" s="192">
        <f t="shared" si="111"/>
        <v>15.36</v>
      </c>
      <c r="S109" s="193"/>
      <c r="T109" s="192"/>
      <c r="U109" s="194">
        <f t="shared" si="97"/>
        <v>36.039999999999949</v>
      </c>
      <c r="V109" s="211">
        <f>IF(H108="AFIII",VLOOKUP(D109,Sheet1!$A$4:$H$18,5,FALSE),IF(H108="UBIII",VLOOKUP(D109,Sheet1!$A$4:$H$18,8,FALSE),IF(H108="",VLOOKUP(D109,Sheet1!$A$4:$H$18,2,FALSE),"0")))</f>
        <v>884</v>
      </c>
      <c r="W109" s="211">
        <f t="shared" si="82"/>
        <v>7033</v>
      </c>
      <c r="X109" s="212">
        <f t="shared" si="109"/>
        <v>10475</v>
      </c>
      <c r="Y109" s="195" t="str">
        <f t="shared" si="84"/>
        <v>SUCCESS</v>
      </c>
      <c r="Z109" s="195" t="str">
        <f t="shared" si="85"/>
        <v>SUCCESS</v>
      </c>
      <c r="AA109" s="185">
        <f t="shared" si="98"/>
        <v>155.08512712817804</v>
      </c>
    </row>
    <row r="110" spans="1:27">
      <c r="A110" s="112">
        <f>ROUNDDOWN(IF(N109-G110&gt;0,(IF(H109="AFIII",VLOOKUP(D110,Sheet1!$K$4:$S$19,5,FALSE),IF(H109="UBIII",VLOOKUP(D110,Sheet1!$K$4:$S$19,8,FALSE),VLOOKUP(D110,Sheet1!$K$4:$S$19,2,FALSE)))*1.2),IF(H109="AFIII",VLOOKUP(D110,Sheet1!$K$4:$S$19,5,FALSE),IF(H109="UBIII",VLOOKUP(D110,Sheet1!$K$4:$S$19,8,FALSE),VLOOKUP(D110,Sheet1!$K$4:$S$19,2,FALSE)))),0)</f>
        <v>168</v>
      </c>
      <c r="B110" s="113">
        <f t="shared" si="77"/>
        <v>41523</v>
      </c>
      <c r="C110" s="118">
        <f t="shared" si="110"/>
        <v>269.05000000000024</v>
      </c>
      <c r="D110" s="181" t="s">
        <v>3</v>
      </c>
      <c r="E110" s="182">
        <f>IF(H109="AFIII",VLOOKUP($D110,Sheet1!$A$34:$K$48,5,FALSE),IF(H109="UBIII",VLOOKUP($D110,Sheet1!$A$34:$K$48,8,FALSE),VLOOKUP($D110,Sheet1!$A$34:$K$48,2,FALSE)))</f>
        <v>1.67</v>
      </c>
      <c r="F110" s="182">
        <f>ROUNDDOWN((IF(H109="AFIII",VLOOKUP($D110,Sheet1!$A$34:$K$48,5,FALSE),IF(H109="UBIII",VLOOKUP($D110,Sheet1!$A$34:$K$48,8,FALSE),VLOOKUP($D110,Sheet1!$A$34:$K$48,2,FALSE))))*0.85,2)</f>
        <v>1.41</v>
      </c>
      <c r="G110" s="182">
        <f t="shared" si="113"/>
        <v>2.39</v>
      </c>
      <c r="H110" s="183" t="s">
        <v>84</v>
      </c>
      <c r="I110" s="182">
        <v>10</v>
      </c>
      <c r="K110" s="182">
        <f>K109-G110</f>
        <v>17.61</v>
      </c>
      <c r="L110" s="182">
        <f t="shared" si="107"/>
        <v>8.11</v>
      </c>
      <c r="O110" s="182">
        <f t="shared" si="104"/>
        <v>130.53999999999991</v>
      </c>
      <c r="Q110" s="182">
        <f t="shared" si="116"/>
        <v>15.75</v>
      </c>
      <c r="R110" s="182">
        <f t="shared" si="111"/>
        <v>12.969999999999999</v>
      </c>
      <c r="U110" s="184">
        <f t="shared" si="97"/>
        <v>33.649999999999949</v>
      </c>
      <c r="V110" s="201">
        <f>IF(H109="AFIII",VLOOKUP(D110,Sheet1!$A$4:$H$18,5,FALSE),IF(H109="UBIII",VLOOKUP(D110,Sheet1!$A$4:$H$18,8,FALSE),IF(H109="",VLOOKUP(D110,Sheet1!$A$4:$H$18,2,FALSE),"0")))</f>
        <v>442</v>
      </c>
      <c r="W110" s="201">
        <f t="shared" si="82"/>
        <v>7033</v>
      </c>
      <c r="X110" s="208">
        <f t="shared" si="109"/>
        <v>10917</v>
      </c>
      <c r="Y110" s="171" t="str">
        <f t="shared" si="84"/>
        <v>SUCCESS</v>
      </c>
      <c r="Z110" s="171" t="str">
        <f t="shared" si="85"/>
        <v>SUCCESS</v>
      </c>
      <c r="AA110" s="185">
        <f t="shared" si="98"/>
        <v>154.33190856718068</v>
      </c>
    </row>
    <row r="111" spans="1:27">
      <c r="A111" s="112">
        <f>ROUNDDOWN(IF(N110-G111&gt;0,(IF(H110="AFIII",VLOOKUP(D111,Sheet1!$K$4:$S$19,5,FALSE),IF(H110="UBIII",VLOOKUP(D111,Sheet1!$K$4:$S$19,8,FALSE),VLOOKUP(D111,Sheet1!$K$4:$S$19,2,FALSE)))*1.2),IF(H110="AFIII",VLOOKUP(D111,Sheet1!$K$4:$S$19,5,FALSE),IF(H110="UBIII",VLOOKUP(D111,Sheet1!$K$4:$S$19,8,FALSE),VLOOKUP(D111,Sheet1!$K$4:$S$19,2,FALSE)))),0)</f>
        <v>504</v>
      </c>
      <c r="B111" s="113">
        <f t="shared" si="77"/>
        <v>42027</v>
      </c>
      <c r="C111" s="118">
        <f t="shared" si="110"/>
        <v>271.91000000000025</v>
      </c>
      <c r="D111" s="181" t="s">
        <v>5</v>
      </c>
      <c r="E111" s="182">
        <f>IF(H110="AFIII",VLOOKUP($D111,Sheet1!$A$34:$K$48,5,FALSE),IF(H110="UBIII",VLOOKUP($D111,Sheet1!$A$34:$K$48,8,FALSE),VLOOKUP($D111,Sheet1!$A$34:$K$48,2,FALSE)))</f>
        <v>2.86</v>
      </c>
      <c r="F111" s="182">
        <f>ROUNDDOWN((IF(H110="AFIII",VLOOKUP($D111,Sheet1!$A$34:$K$48,5,FALSE),IF(H110="UBIII",VLOOKUP($D111,Sheet1!$A$34:$K$48,8,FALSE),VLOOKUP($D111,Sheet1!$A$34:$K$48,2,FALSE))))*0.85,2)</f>
        <v>2.4300000000000002</v>
      </c>
      <c r="G111" s="182">
        <f t="shared" si="113"/>
        <v>2.86</v>
      </c>
      <c r="H111" s="183" t="s">
        <v>84</v>
      </c>
      <c r="I111" s="182">
        <f>I110-G111</f>
        <v>7.1400000000000006</v>
      </c>
      <c r="K111" s="182">
        <f t="shared" ref="K111:K117" si="117">K110-G111</f>
        <v>14.75</v>
      </c>
      <c r="L111" s="182">
        <f t="shared" si="107"/>
        <v>5.25</v>
      </c>
      <c r="O111" s="182">
        <f t="shared" si="104"/>
        <v>127.67999999999991</v>
      </c>
      <c r="Q111" s="182">
        <f t="shared" si="116"/>
        <v>12.89</v>
      </c>
      <c r="R111" s="182">
        <f t="shared" si="111"/>
        <v>10.11</v>
      </c>
      <c r="U111" s="184">
        <f t="shared" si="97"/>
        <v>30.789999999999949</v>
      </c>
      <c r="V111" s="201">
        <f>IF(H110="AFIII",VLOOKUP(D111,Sheet1!$A$4:$H$18,5,FALSE),IF(H110="UBIII",VLOOKUP(D111,Sheet1!$A$4:$H$18,8,FALSE),IF(H110="",VLOOKUP(D111,Sheet1!$A$4:$H$18,2,FALSE),"0")))</f>
        <v>1768</v>
      </c>
      <c r="W111" s="201">
        <f t="shared" si="82"/>
        <v>0</v>
      </c>
      <c r="X111" s="208">
        <f t="shared" si="109"/>
        <v>9149</v>
      </c>
      <c r="Y111" s="171" t="str">
        <f t="shared" si="84"/>
        <v>SUCCESS</v>
      </c>
      <c r="Z111" s="171" t="str">
        <f t="shared" si="85"/>
        <v>SUCCESS</v>
      </c>
      <c r="AA111" s="185">
        <f t="shared" si="98"/>
        <v>154.56217130668222</v>
      </c>
    </row>
    <row r="112" spans="1:27">
      <c r="A112" s="112">
        <f>ROUNDDOWN(IF(N111-G112&gt;0,(IF(H111="AFIII",VLOOKUP(D112,Sheet1!$K$4:$S$19,5,FALSE),IF(H111="UBIII",VLOOKUP(D112,Sheet1!$K$4:$S$19,8,FALSE),VLOOKUP(D112,Sheet1!$K$4:$S$19,2,FALSE)))*1.2),IF(H111="AFIII",VLOOKUP(D112,Sheet1!$K$4:$S$19,5,FALSE),IF(H111="UBIII",VLOOKUP(D112,Sheet1!$K$4:$S$19,8,FALSE),VLOOKUP(D112,Sheet1!$K$4:$S$19,2,FALSE)))),0)</f>
        <v>504</v>
      </c>
      <c r="B112" s="113">
        <f t="shared" si="77"/>
        <v>42531</v>
      </c>
      <c r="C112" s="118">
        <f t="shared" si="110"/>
        <v>274.77000000000027</v>
      </c>
      <c r="D112" s="181" t="s">
        <v>5</v>
      </c>
      <c r="E112" s="182">
        <f>IF(H111="AFIII",VLOOKUP($D112,Sheet1!$A$34:$K$48,5,FALSE),IF(H111="UBIII",VLOOKUP($D112,Sheet1!$A$34:$K$48,8,FALSE),VLOOKUP($D112,Sheet1!$A$34:$K$48,2,FALSE)))</f>
        <v>2.86</v>
      </c>
      <c r="F112" s="182">
        <f>ROUNDDOWN((IF(H111="AFIII",VLOOKUP($D112,Sheet1!$A$34:$K$48,5,FALSE),IF(H111="UBIII",VLOOKUP($D112,Sheet1!$A$34:$K$48,8,FALSE),VLOOKUP($D112,Sheet1!$A$34:$K$48,2,FALSE))))*0.85,2)</f>
        <v>2.4300000000000002</v>
      </c>
      <c r="G112" s="182">
        <f t="shared" si="113"/>
        <v>2.86</v>
      </c>
      <c r="H112" s="183" t="s">
        <v>84</v>
      </c>
      <c r="I112" s="182">
        <f t="shared" ref="I112" si="118">I111-G112</f>
        <v>4.2800000000000011</v>
      </c>
      <c r="K112" s="182">
        <f t="shared" si="117"/>
        <v>11.89</v>
      </c>
      <c r="L112" s="182">
        <f t="shared" si="107"/>
        <v>2.39</v>
      </c>
      <c r="O112" s="182">
        <f t="shared" si="104"/>
        <v>124.81999999999991</v>
      </c>
      <c r="Q112" s="182">
        <f t="shared" si="116"/>
        <v>10.030000000000001</v>
      </c>
      <c r="R112" s="182">
        <f t="shared" si="111"/>
        <v>7.25</v>
      </c>
      <c r="U112" s="184">
        <f t="shared" si="97"/>
        <v>27.92999999999995</v>
      </c>
      <c r="V112" s="201">
        <f>IF(H111="AFIII",VLOOKUP(D112,Sheet1!$A$4:$H$18,5,FALSE),IF(H111="UBIII",VLOOKUP(D112,Sheet1!$A$4:$H$18,8,FALSE),IF(H111="",VLOOKUP(D112,Sheet1!$A$4:$H$18,2,FALSE),"0")))</f>
        <v>1768</v>
      </c>
      <c r="W112" s="201">
        <f t="shared" si="82"/>
        <v>0</v>
      </c>
      <c r="X112" s="208">
        <f t="shared" si="109"/>
        <v>7381</v>
      </c>
      <c r="Y112" s="171" t="str">
        <f t="shared" si="84"/>
        <v>SUCCESS</v>
      </c>
      <c r="Z112" s="171" t="str">
        <f t="shared" si="85"/>
        <v>SUCCESS</v>
      </c>
      <c r="AA112" s="185">
        <f t="shared" si="98"/>
        <v>154.7876405721147</v>
      </c>
    </row>
    <row r="113" spans="1:27">
      <c r="A113" s="112">
        <f>ROUNDDOWN(IF(N112-G113&gt;0,(IF(H112="AFIII",VLOOKUP(D113,Sheet1!$K$4:$S$19,5,FALSE),IF(H112="UBIII",VLOOKUP(D113,Sheet1!$K$4:$S$19,8,FALSE),VLOOKUP(D113,Sheet1!$K$4:$S$19,2,FALSE)))*1.2),IF(H112="AFIII",VLOOKUP(D113,Sheet1!$K$4:$S$19,5,FALSE),IF(H112="UBIII",VLOOKUP(D113,Sheet1!$K$4:$S$19,8,FALSE),VLOOKUP(D113,Sheet1!$K$4:$S$19,2,FALSE)))),0)</f>
        <v>324</v>
      </c>
      <c r="B113" s="113">
        <f t="shared" si="77"/>
        <v>42855</v>
      </c>
      <c r="C113" s="118">
        <f t="shared" si="110"/>
        <v>277.16000000000025</v>
      </c>
      <c r="D113" s="181" t="s">
        <v>1</v>
      </c>
      <c r="E113" s="182">
        <f>IF(H112="AFIII",VLOOKUP($D113,Sheet1!$A$34:$K$48,5,FALSE),IF(H112="UBIII",VLOOKUP($D113,Sheet1!$A$34:$K$48,8,FALSE),VLOOKUP($D113,Sheet1!$A$34:$K$48,2,FALSE)))</f>
        <v>2.39</v>
      </c>
      <c r="F113" s="182">
        <f>ROUNDDOWN((IF(H112="AFIII",VLOOKUP($D113,Sheet1!$A$34:$K$48,5,FALSE),IF(H112="UBIII",VLOOKUP($D113,Sheet1!$A$34:$K$48,8,FALSE),VLOOKUP($D113,Sheet1!$A$34:$K$48,2,FALSE))))*0.85,2)</f>
        <v>2.0299999999999998</v>
      </c>
      <c r="G113" s="182">
        <f t="shared" si="113"/>
        <v>2.39</v>
      </c>
      <c r="H113" s="183" t="s">
        <v>84</v>
      </c>
      <c r="I113" s="182">
        <v>10</v>
      </c>
      <c r="K113" s="182">
        <f t="shared" si="117"/>
        <v>9.5</v>
      </c>
      <c r="L113" s="182">
        <f t="shared" si="107"/>
        <v>0</v>
      </c>
      <c r="O113" s="182">
        <f t="shared" si="104"/>
        <v>122.42999999999991</v>
      </c>
      <c r="Q113" s="182">
        <f t="shared" si="116"/>
        <v>7.6400000000000006</v>
      </c>
      <c r="R113" s="182">
        <f>R112-G113</f>
        <v>4.8599999999999994</v>
      </c>
      <c r="U113" s="184">
        <f t="shared" si="97"/>
        <v>25.539999999999949</v>
      </c>
      <c r="V113" s="201">
        <f>IF(H112="AFIII",VLOOKUP(D113,Sheet1!$A$4:$H$18,5,FALSE),IF(H112="UBIII",VLOOKUP(D113,Sheet1!$A$4:$H$18,8,FALSE),IF(H112="",VLOOKUP(D113,Sheet1!$A$4:$H$18,2,FALSE),"0")))</f>
        <v>2120</v>
      </c>
      <c r="W113" s="201">
        <f t="shared" si="82"/>
        <v>0</v>
      </c>
      <c r="X113" s="208">
        <f t="shared" si="109"/>
        <v>5261</v>
      </c>
      <c r="Y113" s="171" t="str">
        <f t="shared" si="84"/>
        <v>SUCCESS</v>
      </c>
      <c r="Z113" s="171" t="str">
        <f t="shared" si="85"/>
        <v>SUCCESS</v>
      </c>
      <c r="AA113" s="185">
        <f t="shared" si="98"/>
        <v>154.62187905902712</v>
      </c>
    </row>
    <row r="114" spans="1:27">
      <c r="A114" s="112">
        <f>ROUNDDOWN(IF(N113-G114&gt;0,(IF(H113="AFIII",VLOOKUP(D114,Sheet1!$K$4:$S$19,5,FALSE),IF(H113="UBIII",VLOOKUP(D114,Sheet1!$K$4:$S$19,8,FALSE),VLOOKUP(D114,Sheet1!$K$4:$S$19,2,FALSE)))*1.2),IF(H113="AFIII",VLOOKUP(D114,Sheet1!$K$4:$S$19,5,FALSE),IF(H113="UBIII",VLOOKUP(D114,Sheet1!$K$4:$S$19,8,FALSE),VLOOKUP(D114,Sheet1!$K$4:$S$19,2,FALSE)))),0)</f>
        <v>504</v>
      </c>
      <c r="B114" s="113">
        <f t="shared" si="77"/>
        <v>43359</v>
      </c>
      <c r="C114" s="118">
        <f t="shared" si="110"/>
        <v>280.02000000000027</v>
      </c>
      <c r="D114" s="181" t="s">
        <v>6</v>
      </c>
      <c r="E114" s="182">
        <f>IF(H113="AFIII",VLOOKUP($D114,Sheet1!$A$34:$K$48,5,FALSE),IF(H113="UBIII",VLOOKUP($D114,Sheet1!$A$34:$K$48,8,FALSE),VLOOKUP($D114,Sheet1!$A$34:$K$48,2,FALSE)))</f>
        <v>2.86</v>
      </c>
      <c r="F114" s="182">
        <f>ROUNDDOWN((IF(H113="AFIII",VLOOKUP($D114,Sheet1!$A$34:$K$48,5,FALSE),IF(H113="UBIII",VLOOKUP($D114,Sheet1!$A$34:$K$48,8,FALSE),VLOOKUP($D114,Sheet1!$A$34:$K$48,2,FALSE))))*0.85,2)</f>
        <v>2.4300000000000002</v>
      </c>
      <c r="G114" s="182">
        <f t="shared" si="113"/>
        <v>2.86</v>
      </c>
      <c r="H114" s="183" t="s">
        <v>84</v>
      </c>
      <c r="I114" s="182">
        <f>I113-G114</f>
        <v>7.1400000000000006</v>
      </c>
      <c r="K114" s="182">
        <f t="shared" si="117"/>
        <v>6.6400000000000006</v>
      </c>
      <c r="L114" s="182">
        <f t="shared" si="107"/>
        <v>-2.86</v>
      </c>
      <c r="O114" s="182">
        <f t="shared" si="104"/>
        <v>119.56999999999991</v>
      </c>
      <c r="Q114" s="182">
        <f t="shared" si="116"/>
        <v>4.7800000000000011</v>
      </c>
      <c r="R114" s="182">
        <f t="shared" ref="R114:R115" si="119">R113-G114</f>
        <v>1.9999999999999996</v>
      </c>
      <c r="U114" s="184">
        <f t="shared" si="97"/>
        <v>22.67999999999995</v>
      </c>
      <c r="V114" s="201">
        <f>IF(H113="AFIII",VLOOKUP(D114,Sheet1!$A$4:$H$18,5,FALSE),IF(H113="UBIII",VLOOKUP(D114,Sheet1!$A$4:$H$18,8,FALSE),IF(H113="",VLOOKUP(D114,Sheet1!$A$4:$H$18,2,FALSE),"0")))</f>
        <v>1768</v>
      </c>
      <c r="W114" s="201">
        <f t="shared" si="82"/>
        <v>0</v>
      </c>
      <c r="X114" s="208">
        <f t="shared" si="109"/>
        <v>3493</v>
      </c>
      <c r="Y114" s="171" t="str">
        <f t="shared" si="84"/>
        <v>SUCCESS</v>
      </c>
      <c r="Z114" s="171" t="str">
        <f t="shared" si="85"/>
        <v>SUCCESS</v>
      </c>
      <c r="AA114" s="185">
        <f t="shared" si="98"/>
        <v>154.84251124919635</v>
      </c>
    </row>
    <row r="115" spans="1:27">
      <c r="A115" s="112">
        <f>ROUNDDOWN(IF(N114-G115&gt;0,(IF(H114="AFIII",VLOOKUP(D115,Sheet1!$K$4:$S$19,5,FALSE),IF(H114="UBIII",VLOOKUP(D115,Sheet1!$K$4:$S$19,8,FALSE),VLOOKUP(D115,Sheet1!$K$4:$S$19,2,FALSE)))*1.2),IF(H114="AFIII",VLOOKUP(D115,Sheet1!$K$4:$S$19,5,FALSE),IF(H114="UBIII",VLOOKUP(D115,Sheet1!$K$4:$S$19,8,FALSE),VLOOKUP(D115,Sheet1!$K$4:$S$19,2,FALSE)))),0)</f>
        <v>504</v>
      </c>
      <c r="B115" s="113">
        <f t="shared" si="77"/>
        <v>43863</v>
      </c>
      <c r="C115" s="118">
        <f t="shared" si="110"/>
        <v>282.88000000000028</v>
      </c>
      <c r="D115" s="181" t="s">
        <v>6</v>
      </c>
      <c r="E115" s="182">
        <f>IF(H114="AFIII",VLOOKUP($D115,Sheet1!$A$34:$K$48,5,FALSE),IF(H114="UBIII",VLOOKUP($D115,Sheet1!$A$34:$K$48,8,FALSE),VLOOKUP($D115,Sheet1!$A$34:$K$48,2,FALSE)))</f>
        <v>2.86</v>
      </c>
      <c r="F115" s="182">
        <f>ROUNDDOWN((IF(H114="AFIII",VLOOKUP($D115,Sheet1!$A$34:$K$48,5,FALSE),IF(H114="UBIII",VLOOKUP($D115,Sheet1!$A$34:$K$48,8,FALSE),VLOOKUP($D115,Sheet1!$A$34:$K$48,2,FALSE))))*0.85,2)</f>
        <v>2.4300000000000002</v>
      </c>
      <c r="G115" s="182">
        <f t="shared" si="113"/>
        <v>2.86</v>
      </c>
      <c r="H115" s="183" t="s">
        <v>84</v>
      </c>
      <c r="I115" s="182">
        <f>I114-G115</f>
        <v>4.2800000000000011</v>
      </c>
      <c r="K115" s="182">
        <f t="shared" si="117"/>
        <v>3.7800000000000007</v>
      </c>
      <c r="L115" s="182">
        <f t="shared" si="107"/>
        <v>-5.72</v>
      </c>
      <c r="O115" s="182">
        <f t="shared" si="104"/>
        <v>116.70999999999991</v>
      </c>
      <c r="Q115" s="182">
        <f t="shared" si="116"/>
        <v>1.9200000000000013</v>
      </c>
      <c r="R115" s="182">
        <f t="shared" si="119"/>
        <v>-0.86000000000000032</v>
      </c>
      <c r="U115" s="184">
        <f t="shared" si="97"/>
        <v>19.819999999999951</v>
      </c>
      <c r="V115" s="201">
        <f>IF(H114="AFIII",VLOOKUP(D115,Sheet1!$A$4:$H$18,5,FALSE),IF(H114="UBIII",VLOOKUP(D115,Sheet1!$A$4:$H$18,8,FALSE),IF(H114="",VLOOKUP(D115,Sheet1!$A$4:$H$18,2,FALSE),"0")))</f>
        <v>1768</v>
      </c>
      <c r="W115" s="201">
        <f t="shared" si="82"/>
        <v>0</v>
      </c>
      <c r="X115" s="208">
        <f t="shared" si="109"/>
        <v>1725</v>
      </c>
      <c r="Y115" s="171" t="str">
        <f t="shared" si="84"/>
        <v>SUCCESS</v>
      </c>
      <c r="Z115" s="171" t="str">
        <f t="shared" si="85"/>
        <v>SUCCESS</v>
      </c>
      <c r="AA115" s="185">
        <f t="shared" si="98"/>
        <v>155.05868212669668</v>
      </c>
    </row>
    <row r="116" spans="1:27">
      <c r="A116" s="112">
        <f>ROUNDDOWN(IF(N115-G116&gt;0,(IF(H115="AFIII",VLOOKUP(D116,Sheet1!$K$4:$S$19,5,FALSE),IF(H115="UBIII",VLOOKUP(D116,Sheet1!$K$4:$S$19,8,FALSE),VLOOKUP(D116,Sheet1!$K$4:$S$19,2,FALSE)))*1.2),IF(H115="AFIII",VLOOKUP(D116,Sheet1!$K$4:$S$19,5,FALSE),IF(H115="UBIII",VLOOKUP(D116,Sheet1!$K$4:$S$19,8,FALSE),VLOOKUP(D116,Sheet1!$K$4:$S$19,2,FALSE)))),0)</f>
        <v>168</v>
      </c>
      <c r="B116" s="113">
        <f t="shared" si="77"/>
        <v>44031</v>
      </c>
      <c r="C116" s="118">
        <f t="shared" si="110"/>
        <v>285.27000000000027</v>
      </c>
      <c r="D116" s="181" t="s">
        <v>12</v>
      </c>
      <c r="E116" s="182">
        <f>IF(H115="AFIII",VLOOKUP($D116,Sheet1!$A$34:$K$48,5,FALSE),IF(H115="UBIII",VLOOKUP($D116,Sheet1!$A$34:$K$48,8,FALSE),VLOOKUP($D116,Sheet1!$A$34:$K$48,2,FALSE)))</f>
        <v>1.67</v>
      </c>
      <c r="F116" s="182">
        <f>ROUNDDOWN((IF(H115="AFIII",VLOOKUP($D116,Sheet1!$A$34:$K$48,5,FALSE),IF(H115="UBIII",VLOOKUP($D116,Sheet1!$A$34:$K$48,8,FALSE),VLOOKUP($D116,Sheet1!$A$34:$K$48,2,FALSE))))*0.85,2)</f>
        <v>1.41</v>
      </c>
      <c r="G116" s="182">
        <f t="shared" si="113"/>
        <v>2.39</v>
      </c>
      <c r="H116" s="183" t="s">
        <v>122</v>
      </c>
      <c r="I116" s="182">
        <v>10</v>
      </c>
      <c r="K116" s="182">
        <f t="shared" si="117"/>
        <v>1.3900000000000006</v>
      </c>
      <c r="L116" s="182">
        <f t="shared" si="107"/>
        <v>-8.11</v>
      </c>
      <c r="O116" s="182">
        <f t="shared" si="104"/>
        <v>114.31999999999991</v>
      </c>
      <c r="Q116" s="182">
        <f t="shared" si="116"/>
        <v>-0.46999999999999886</v>
      </c>
      <c r="U116" s="184">
        <f t="shared" si="97"/>
        <v>17.42999999999995</v>
      </c>
      <c r="V116" s="201">
        <f>IF(H115="AFIII",VLOOKUP(D116,Sheet1!$A$4:$H$18,5,FALSE),IF(H115="UBIII",VLOOKUP(D116,Sheet1!$A$4:$H$18,8,FALSE),IF(H115="",VLOOKUP(D116,Sheet1!$A$4:$H$18,2,FALSE),"0")))</f>
        <v>265</v>
      </c>
      <c r="W116" s="201">
        <f t="shared" si="82"/>
        <v>0</v>
      </c>
      <c r="X116" s="208">
        <f t="shared" si="109"/>
        <v>1460</v>
      </c>
      <c r="Y116" s="171" t="str">
        <f t="shared" si="84"/>
        <v>SUCCESS</v>
      </c>
      <c r="Z116" s="171" t="str">
        <f t="shared" si="85"/>
        <v>SUCCESS</v>
      </c>
      <c r="AA116" s="185">
        <f t="shared" si="98"/>
        <v>154.34851193606042</v>
      </c>
    </row>
    <row r="117" spans="1:27">
      <c r="A117" s="122">
        <f>ROUNDDOWN(IF(N116-G117&gt;0,(IF(H116="AFIII",VLOOKUP(D117,Sheet1!$K$4:$S$19,5,FALSE),IF(H116="UBIII",VLOOKUP(D117,Sheet1!$K$4:$S$19,8,FALSE),VLOOKUP(D117,Sheet1!$K$4:$S$19,2,FALSE)))*1.2),IF(H116="AFIII",VLOOKUP(D117,Sheet1!$K$4:$S$19,5,FALSE),IF(H116="UBIII",VLOOKUP(D117,Sheet1!$K$4:$S$19,8,FALSE),VLOOKUP(D117,Sheet1!$K$4:$S$19,2,FALSE)))),0)</f>
        <v>295</v>
      </c>
      <c r="B117" s="123">
        <f t="shared" si="77"/>
        <v>44326</v>
      </c>
      <c r="C117" s="124">
        <f t="shared" si="110"/>
        <v>288.13000000000028</v>
      </c>
      <c r="D117" s="186" t="s">
        <v>19</v>
      </c>
      <c r="E117" s="187">
        <f>IF(H116="AFIII",VLOOKUP($D117,Sheet1!$A$34:$K$48,5,FALSE),IF(H116="UBIII",VLOOKUP($D117,Sheet1!$A$34:$K$48,8,FALSE),VLOOKUP($D117,Sheet1!$A$34:$K$48,2,FALSE)))</f>
        <v>2.86</v>
      </c>
      <c r="F117" s="187">
        <f>ROUNDDOWN((IF(H116="AFIII",VLOOKUP($D117,Sheet1!$A$34:$K$48,5,FALSE),IF(H116="UBIII",VLOOKUP($D117,Sheet1!$A$34:$K$48,8,FALSE),VLOOKUP($D117,Sheet1!$A$34:$K$48,2,FALSE))))*0.85,2)</f>
        <v>2.4300000000000002</v>
      </c>
      <c r="G117" s="187">
        <f t="shared" si="113"/>
        <v>2.86</v>
      </c>
      <c r="H117" s="188" t="s">
        <v>122</v>
      </c>
      <c r="I117" s="187">
        <f>I116-G117</f>
        <v>7.1400000000000006</v>
      </c>
      <c r="J117" s="188"/>
      <c r="K117" s="187">
        <f t="shared" si="117"/>
        <v>-1.4699999999999993</v>
      </c>
      <c r="L117" s="187">
        <f t="shared" si="107"/>
        <v>-10.969999999999999</v>
      </c>
      <c r="M117" s="188"/>
      <c r="N117" s="187"/>
      <c r="O117" s="187">
        <f t="shared" si="104"/>
        <v>111.45999999999991</v>
      </c>
      <c r="P117" s="188"/>
      <c r="Q117" s="187"/>
      <c r="R117" s="187"/>
      <c r="S117" s="188"/>
      <c r="T117" s="187"/>
      <c r="U117" s="189">
        <f t="shared" si="97"/>
        <v>14.569999999999951</v>
      </c>
      <c r="V117" s="209">
        <f>IF(H116="AFIII",VLOOKUP(D117,Sheet1!$A$4:$H$18,5,FALSE),IF(H116="UBIII",VLOOKUP(D117,Sheet1!$A$4:$H$18,8,FALSE),IF(H116="",VLOOKUP(D117,Sheet1!$A$4:$H$18,2,FALSE),"0")))</f>
        <v>1060</v>
      </c>
      <c r="W117" s="209">
        <f t="shared" si="82"/>
        <v>7033</v>
      </c>
      <c r="X117" s="210">
        <f t="shared" si="109"/>
        <v>7433</v>
      </c>
      <c r="Y117" s="190" t="str">
        <f t="shared" si="84"/>
        <v>SUCCESS</v>
      </c>
      <c r="Z117" s="190" t="str">
        <f t="shared" si="85"/>
        <v>ERROR</v>
      </c>
      <c r="AA117" s="185">
        <f t="shared" si="98"/>
        <v>153.84028042897287</v>
      </c>
    </row>
    <row r="118" spans="1:27">
      <c r="A118" s="112">
        <f>ROUNDDOWN(IF(N117-G118&gt;0,(IF(H117="AFIII",VLOOKUP(D118,Sheet1!$K$4:$S$19,5,FALSE),IF(H117="UBIII",VLOOKUP(D118,Sheet1!$K$4:$S$19,8,FALSE),VLOOKUP(D118,Sheet1!$K$4:$S$19,2,FALSE)))*1.2),IF(H117="AFIII",VLOOKUP(D118,Sheet1!$K$4:$S$19,5,FALSE),IF(H117="UBIII",VLOOKUP(D118,Sheet1!$K$4:$S$19,8,FALSE),VLOOKUP(D118,Sheet1!$K$4:$S$19,2,FALSE)))),0)</f>
        <v>168</v>
      </c>
      <c r="B118" s="113">
        <f t="shared" si="77"/>
        <v>44494</v>
      </c>
      <c r="C118" s="118">
        <f t="shared" si="110"/>
        <v>290.52000000000027</v>
      </c>
      <c r="D118" s="181" t="s">
        <v>4</v>
      </c>
      <c r="E118" s="182">
        <f>IF(H117="AFIII",VLOOKUP($D118,Sheet1!$A$34:$K$48,5,FALSE),IF(H117="UBIII",VLOOKUP($D118,Sheet1!$A$34:$K$48,8,FALSE),VLOOKUP($D118,Sheet1!$A$34:$K$48,2,FALSE)))</f>
        <v>1.67</v>
      </c>
      <c r="F118" s="182">
        <f>ROUNDDOWN((IF(H117="AFIII",VLOOKUP($D118,Sheet1!$A$34:$K$48,5,FALSE),IF(H117="UBIII",VLOOKUP($D118,Sheet1!$A$34:$K$48,8,FALSE),VLOOKUP($D118,Sheet1!$A$34:$K$48,2,FALSE))))*0.85,2)</f>
        <v>1.41</v>
      </c>
      <c r="G118" s="182">
        <f t="shared" si="113"/>
        <v>2.39</v>
      </c>
      <c r="H118" s="183" t="s">
        <v>84</v>
      </c>
      <c r="I118" s="182">
        <v>10</v>
      </c>
      <c r="J118" s="183" t="s">
        <v>105</v>
      </c>
      <c r="K118" s="182">
        <v>30</v>
      </c>
      <c r="L118" s="182">
        <v>60</v>
      </c>
      <c r="O118" s="182">
        <f t="shared" si="104"/>
        <v>109.06999999999991</v>
      </c>
      <c r="U118" s="184">
        <f t="shared" si="97"/>
        <v>12.17999999999995</v>
      </c>
      <c r="V118" s="201">
        <f>IF(H117="AFIII",VLOOKUP(D118,Sheet1!$A$4:$H$18,5,FALSE),IF(H117="UBIII",VLOOKUP(D118,Sheet1!$A$4:$H$18,8,FALSE),IF(H117="",VLOOKUP(D118,Sheet1!$A$4:$H$18,2,FALSE),"0")))</f>
        <v>442</v>
      </c>
      <c r="W118" s="201">
        <f t="shared" si="82"/>
        <v>7033</v>
      </c>
      <c r="X118" s="208">
        <f t="shared" si="109"/>
        <v>10917</v>
      </c>
      <c r="Y118" s="171" t="str">
        <f t="shared" si="84"/>
        <v>SUCCESS</v>
      </c>
      <c r="Z118" s="171" t="str">
        <f t="shared" si="85"/>
        <v>ERROR</v>
      </c>
      <c r="AA118" s="185">
        <f t="shared" si="98"/>
        <v>153.1529670934874</v>
      </c>
    </row>
    <row r="119" spans="1:27">
      <c r="A119" s="112">
        <f>ROUNDDOWN(IF(N118-G119&gt;0,(IF(H118="AFIII",VLOOKUP(D119,Sheet1!$K$4:$S$19,5,FALSE),IF(H118="UBIII",VLOOKUP(D119,Sheet1!$K$4:$S$19,8,FALSE),VLOOKUP(D119,Sheet1!$K$4:$S$19,2,FALSE)))*1.2),IF(H118="AFIII",VLOOKUP(D119,Sheet1!$K$4:$S$19,5,FALSE),IF(H118="UBIII",VLOOKUP(D119,Sheet1!$K$4:$S$19,8,FALSE),VLOOKUP(D119,Sheet1!$K$4:$S$19,2,FALSE)))),0)</f>
        <v>504</v>
      </c>
      <c r="B119" s="113">
        <f t="shared" si="77"/>
        <v>44998</v>
      </c>
      <c r="C119" s="118">
        <f t="shared" si="110"/>
        <v>293.38000000000028</v>
      </c>
      <c r="D119" s="181" t="s">
        <v>6</v>
      </c>
      <c r="E119" s="182">
        <f>IF(H118="AFIII",VLOOKUP($D119,Sheet1!$A$34:$K$48,5,FALSE),IF(H118="UBIII",VLOOKUP($D119,Sheet1!$A$34:$K$48,8,FALSE),VLOOKUP($D119,Sheet1!$A$34:$K$48,2,FALSE)))</f>
        <v>2.86</v>
      </c>
      <c r="F119" s="182">
        <f>ROUNDDOWN((IF(H118="AFIII",VLOOKUP($D119,Sheet1!$A$34:$K$48,5,FALSE),IF(H118="UBIII",VLOOKUP($D119,Sheet1!$A$34:$K$48,8,FALSE),VLOOKUP($D119,Sheet1!$A$34:$K$48,2,FALSE))))*0.85,2)</f>
        <v>2.4300000000000002</v>
      </c>
      <c r="G119" s="182">
        <f>IF(M118="迅速",IF(S118="黒魔紋",$F$1,$E$1),IF(S118="黒魔紋",IF(F119&lt;$F$1,$F$1,F119),IF(E119&lt;$E$1,$E$1,E119)))</f>
        <v>2.86</v>
      </c>
      <c r="H119" s="183" t="s">
        <v>84</v>
      </c>
      <c r="I119" s="182">
        <f>I118-G119</f>
        <v>7.1400000000000006</v>
      </c>
      <c r="K119" s="182">
        <f>K118-G119</f>
        <v>27.14</v>
      </c>
      <c r="L119" s="182">
        <f>L118-G119</f>
        <v>57.14</v>
      </c>
      <c r="N119" s="182">
        <v>20</v>
      </c>
      <c r="O119" s="182">
        <f t="shared" si="104"/>
        <v>106.20999999999991</v>
      </c>
      <c r="U119" s="184">
        <f t="shared" si="97"/>
        <v>9.3199999999999505</v>
      </c>
      <c r="V119" s="201">
        <f>IF(H118="AFIII",VLOOKUP(D119,Sheet1!$A$4:$H$18,5,FALSE),IF(H118="UBIII",VLOOKUP(D119,Sheet1!$A$4:$H$18,8,FALSE),IF(H118="",VLOOKUP(D119,Sheet1!$A$4:$H$18,2,FALSE),"0")))</f>
        <v>1768</v>
      </c>
      <c r="W119" s="201">
        <f t="shared" si="82"/>
        <v>0</v>
      </c>
      <c r="X119" s="208">
        <f t="shared" si="109"/>
        <v>9149</v>
      </c>
      <c r="Y119" s="171" t="str">
        <f t="shared" si="84"/>
        <v>SUCCESS</v>
      </c>
      <c r="Z119" s="171" t="str">
        <f t="shared" si="85"/>
        <v>SUCCESS</v>
      </c>
      <c r="AA119" s="185">
        <f t="shared" si="98"/>
        <v>153.37787170222904</v>
      </c>
    </row>
    <row r="120" spans="1:27">
      <c r="A120" s="112">
        <f>ROUNDDOWN(IF(N119-G120&gt;0,(IF(H119="AFIII",VLOOKUP(D120,Sheet1!$K$4:$S$19,5,FALSE),IF(H119="UBIII",VLOOKUP(D120,Sheet1!$K$4:$S$19,8,FALSE),VLOOKUP(D120,Sheet1!$K$4:$S$19,2,FALSE)))*1.2),IF(H119="AFIII",VLOOKUP(D120,Sheet1!$K$4:$S$19,5,FALSE),IF(H119="UBIII",VLOOKUP(D120,Sheet1!$K$4:$S$19,8,FALSE),VLOOKUP(D120,Sheet1!$K$4:$S$19,2,FALSE)))),0)</f>
        <v>604</v>
      </c>
      <c r="B120" s="113">
        <f t="shared" si="77"/>
        <v>45602</v>
      </c>
      <c r="C120" s="118">
        <f t="shared" si="110"/>
        <v>296.24000000000029</v>
      </c>
      <c r="D120" s="181" t="s">
        <v>6</v>
      </c>
      <c r="E120" s="182">
        <f>IF(H119="AFIII",VLOOKUP($D120,Sheet1!$A$34:$K$48,5,FALSE),IF(H119="UBIII",VLOOKUP($D120,Sheet1!$A$34:$K$48,8,FALSE),VLOOKUP($D120,Sheet1!$A$34:$K$48,2,FALSE)))</f>
        <v>2.86</v>
      </c>
      <c r="F120" s="182">
        <f>ROUNDDOWN((IF(H119="AFIII",VLOOKUP($D120,Sheet1!$A$34:$K$48,5,FALSE),IF(H119="UBIII",VLOOKUP($D120,Sheet1!$A$34:$K$48,8,FALSE),VLOOKUP($D120,Sheet1!$A$34:$K$48,2,FALSE))))*0.85,2)</f>
        <v>2.4300000000000002</v>
      </c>
      <c r="G120" s="182">
        <f t="shared" ref="G120:G132" si="120">IF(M119="迅速",IF(S119="黒魔紋",$F$1,$E$1),IF(S119="黒魔紋",IF(F120&lt;$F$1,$F$1,F120),IF(E120&lt;$E$1,$E$1,E120)))</f>
        <v>2.86</v>
      </c>
      <c r="H120" s="183" t="s">
        <v>84</v>
      </c>
      <c r="I120" s="182">
        <f t="shared" ref="I120" si="121">I119-G120</f>
        <v>4.2800000000000011</v>
      </c>
      <c r="K120" s="182">
        <f t="shared" ref="K120:K121" si="122">K119-G120</f>
        <v>24.28</v>
      </c>
      <c r="L120" s="182">
        <f t="shared" ref="L120:L121" si="123">L119-G120</f>
        <v>54.28</v>
      </c>
      <c r="N120" s="182">
        <f>N119-G120</f>
        <v>17.14</v>
      </c>
      <c r="O120" s="182">
        <f t="shared" si="104"/>
        <v>103.34999999999991</v>
      </c>
      <c r="P120" s="183" t="s">
        <v>131</v>
      </c>
      <c r="R120" s="182">
        <v>60</v>
      </c>
      <c r="U120" s="184">
        <f t="shared" si="97"/>
        <v>6.4599999999999511</v>
      </c>
      <c r="V120" s="201">
        <f>IF(H119="AFIII",VLOOKUP(D120,Sheet1!$A$4:$H$18,5,FALSE),IF(H119="UBIII",VLOOKUP(D120,Sheet1!$A$4:$H$18,8,FALSE),IF(H119="",VLOOKUP(D120,Sheet1!$A$4:$H$18,2,FALSE),"0")))</f>
        <v>1768</v>
      </c>
      <c r="W120" s="201">
        <f t="shared" si="82"/>
        <v>0</v>
      </c>
      <c r="X120" s="208">
        <f t="shared" si="109"/>
        <v>7381</v>
      </c>
      <c r="Y120" s="171" t="str">
        <f t="shared" si="84"/>
        <v>SUCCESS</v>
      </c>
      <c r="Z120" s="171" t="str">
        <f t="shared" si="85"/>
        <v>SUCCESS</v>
      </c>
      <c r="AA120" s="185">
        <f t="shared" si="98"/>
        <v>153.93599783958936</v>
      </c>
    </row>
    <row r="121" spans="1:27">
      <c r="A121" s="112">
        <f>ROUNDDOWN(IF(N120-G121&gt;0,(IF(H120="AFIII",VLOOKUP(D121,Sheet1!$K$4:$S$19,5,FALSE),IF(H120="UBIII",VLOOKUP(D121,Sheet1!$K$4:$S$19,8,FALSE),VLOOKUP(D121,Sheet1!$K$4:$S$19,2,FALSE)))*1.2),IF(H120="AFIII",VLOOKUP(D121,Sheet1!$K$4:$S$19,5,FALSE),IF(H120="UBIII",VLOOKUP(D121,Sheet1!$K$4:$S$19,8,FALSE),VLOOKUP(D121,Sheet1!$K$4:$S$19,2,FALSE)))),0)</f>
        <v>388</v>
      </c>
      <c r="B121" s="113">
        <f t="shared" si="77"/>
        <v>45990</v>
      </c>
      <c r="C121" s="118">
        <f t="shared" si="110"/>
        <v>298.63000000000028</v>
      </c>
      <c r="D121" s="181" t="s">
        <v>1</v>
      </c>
      <c r="E121" s="182">
        <f>IF(H120="AFIII",VLOOKUP($D121,Sheet1!$A$34:$K$48,5,FALSE),IF(H120="UBIII",VLOOKUP($D121,Sheet1!$A$34:$K$48,8,FALSE),VLOOKUP($D121,Sheet1!$A$34:$K$48,2,FALSE)))</f>
        <v>2.39</v>
      </c>
      <c r="F121" s="182">
        <f>ROUNDDOWN((IF(H120="AFIII",VLOOKUP($D121,Sheet1!$A$34:$K$48,5,FALSE),IF(H120="UBIII",VLOOKUP($D121,Sheet1!$A$34:$K$48,8,FALSE),VLOOKUP($D121,Sheet1!$A$34:$K$48,2,FALSE))))*0.85,2)</f>
        <v>2.0299999999999998</v>
      </c>
      <c r="G121" s="182">
        <f t="shared" si="120"/>
        <v>2.39</v>
      </c>
      <c r="H121" s="183" t="s">
        <v>84</v>
      </c>
      <c r="I121" s="182">
        <v>10</v>
      </c>
      <c r="K121" s="182">
        <f t="shared" si="122"/>
        <v>21.89</v>
      </c>
      <c r="L121" s="182">
        <f t="shared" si="123"/>
        <v>51.89</v>
      </c>
      <c r="N121" s="182">
        <f t="shared" ref="N121" si="124">N120-G121</f>
        <v>14.75</v>
      </c>
      <c r="O121" s="182">
        <f t="shared" si="104"/>
        <v>100.95999999999991</v>
      </c>
      <c r="R121" s="182">
        <f t="shared" ref="R121:R123" si="125">R120-G121</f>
        <v>57.61</v>
      </c>
      <c r="U121" s="184">
        <f t="shared" si="97"/>
        <v>4.0699999999999505</v>
      </c>
      <c r="V121" s="201">
        <f>IF(H120="AFIII",VLOOKUP(D121,Sheet1!$A$4:$H$18,5,FALSE),IF(H120="UBIII",VLOOKUP(D121,Sheet1!$A$4:$H$18,8,FALSE),IF(H120="",VLOOKUP(D121,Sheet1!$A$4:$H$18,2,FALSE),"0")))</f>
        <v>2120</v>
      </c>
      <c r="W121" s="201">
        <f t="shared" si="82"/>
        <v>0</v>
      </c>
      <c r="X121" s="208">
        <f t="shared" si="109"/>
        <v>5261</v>
      </c>
      <c r="Y121" s="171" t="str">
        <f t="shared" si="84"/>
        <v>SUCCESS</v>
      </c>
      <c r="Z121" s="171" t="str">
        <f t="shared" si="85"/>
        <v>SUCCESS</v>
      </c>
      <c r="AA121" s="185">
        <f t="shared" si="98"/>
        <v>154.00328165288136</v>
      </c>
    </row>
    <row r="122" spans="1:27">
      <c r="A122" s="112">
        <f>ROUNDDOWN(IF(N121-G122&gt;0,(IF(H121="AFIII",VLOOKUP(D122,Sheet1!$K$4:$S$19,5,FALSE),IF(H121="UBIII",VLOOKUP(D122,Sheet1!$K$4:$S$19,8,FALSE),VLOOKUP(D122,Sheet1!$K$4:$S$19,2,FALSE)))*1.2),IF(H121="AFIII",VLOOKUP(D122,Sheet1!$K$4:$S$19,5,FALSE),IF(H121="UBIII",VLOOKUP(D122,Sheet1!$K$4:$S$19,8,FALSE),VLOOKUP(D122,Sheet1!$K$4:$S$19,2,FALSE)))),0)</f>
        <v>604</v>
      </c>
      <c r="B122" s="113">
        <f t="shared" si="77"/>
        <v>46594</v>
      </c>
      <c r="C122" s="118">
        <f t="shared" si="110"/>
        <v>301.49000000000029</v>
      </c>
      <c r="D122" s="181" t="s">
        <v>6</v>
      </c>
      <c r="E122" s="182">
        <f>IF(H121="AFIII",VLOOKUP($D122,Sheet1!$A$34:$K$48,5,FALSE),IF(H121="UBIII",VLOOKUP($D122,Sheet1!$A$34:$K$48,8,FALSE),VLOOKUP($D122,Sheet1!$A$34:$K$48,2,FALSE)))</f>
        <v>2.86</v>
      </c>
      <c r="F122" s="182">
        <f>ROUNDDOWN((IF(H121="AFIII",VLOOKUP($D122,Sheet1!$A$34:$K$48,5,FALSE),IF(H121="UBIII",VLOOKUP($D122,Sheet1!$A$34:$K$48,8,FALSE),VLOOKUP($D122,Sheet1!$A$34:$K$48,2,FALSE))))*0.85,2)</f>
        <v>2.4300000000000002</v>
      </c>
      <c r="G122" s="182">
        <f t="shared" si="120"/>
        <v>2.86</v>
      </c>
      <c r="H122" s="183" t="s">
        <v>84</v>
      </c>
      <c r="I122" s="182">
        <f>I121-G122</f>
        <v>7.1400000000000006</v>
      </c>
      <c r="K122" s="182">
        <f>K121-G122</f>
        <v>19.03</v>
      </c>
      <c r="L122" s="182">
        <f>L121-G122</f>
        <v>49.03</v>
      </c>
      <c r="N122" s="182">
        <f>N121-G122</f>
        <v>11.89</v>
      </c>
      <c r="O122" s="182">
        <f t="shared" si="104"/>
        <v>98.099999999999909</v>
      </c>
      <c r="R122" s="182">
        <f t="shared" si="125"/>
        <v>54.75</v>
      </c>
      <c r="U122" s="184">
        <f t="shared" si="97"/>
        <v>1.2099999999999507</v>
      </c>
      <c r="V122" s="201">
        <f>IF(H121="AFIII",VLOOKUP(D122,Sheet1!$A$4:$H$18,5,FALSE),IF(H121="UBIII",VLOOKUP(D122,Sheet1!$A$4:$H$18,8,FALSE),IF(H121="",VLOOKUP(D122,Sheet1!$A$4:$H$18,2,FALSE),"0")))</f>
        <v>1768</v>
      </c>
      <c r="W122" s="201">
        <f t="shared" si="82"/>
        <v>0</v>
      </c>
      <c r="X122" s="208">
        <f t="shared" si="109"/>
        <v>3493</v>
      </c>
      <c r="Y122" s="171" t="str">
        <f t="shared" si="84"/>
        <v>SUCCESS</v>
      </c>
      <c r="Z122" s="171" t="str">
        <f t="shared" si="85"/>
        <v>SUCCESS</v>
      </c>
      <c r="AA122" s="185">
        <f t="shared" si="98"/>
        <v>154.54575607814508</v>
      </c>
    </row>
    <row r="123" spans="1:27">
      <c r="A123" s="112">
        <f>ROUNDDOWN(IF(N122-G123&gt;0,(IF(H122="AFIII",VLOOKUP(D123,Sheet1!$K$4:$S$19,5,FALSE),IF(H122="UBIII",VLOOKUP(D123,Sheet1!$K$4:$S$19,8,FALSE),VLOOKUP(D123,Sheet1!$K$4:$S$19,2,FALSE)))*1.2),IF(H122="AFIII",VLOOKUP(D123,Sheet1!$K$4:$S$19,5,FALSE),IF(H122="UBIII",VLOOKUP(D123,Sheet1!$K$4:$S$19,8,FALSE),VLOOKUP(D123,Sheet1!$K$4:$S$19,2,FALSE)))),0)</f>
        <v>604</v>
      </c>
      <c r="B123" s="113">
        <f t="shared" si="77"/>
        <v>47198</v>
      </c>
      <c r="C123" s="118">
        <f t="shared" si="110"/>
        <v>304.35000000000031</v>
      </c>
      <c r="D123" s="181" t="s">
        <v>6</v>
      </c>
      <c r="E123" s="182">
        <f>IF(H122="AFIII",VLOOKUP($D123,Sheet1!$A$34:$K$48,5,FALSE),IF(H122="UBIII",VLOOKUP($D123,Sheet1!$A$34:$K$48,8,FALSE),VLOOKUP($D123,Sheet1!$A$34:$K$48,2,FALSE)))</f>
        <v>2.86</v>
      </c>
      <c r="F123" s="182">
        <f>ROUNDDOWN((IF(H122="AFIII",VLOOKUP($D123,Sheet1!$A$34:$K$48,5,FALSE),IF(H122="UBIII",VLOOKUP($D123,Sheet1!$A$34:$K$48,8,FALSE),VLOOKUP($D123,Sheet1!$A$34:$K$48,2,FALSE))))*0.85,2)</f>
        <v>2.4300000000000002</v>
      </c>
      <c r="G123" s="182">
        <f t="shared" si="120"/>
        <v>2.86</v>
      </c>
      <c r="H123" s="183" t="s">
        <v>84</v>
      </c>
      <c r="I123" s="182">
        <f>I122-G123</f>
        <v>4.2800000000000011</v>
      </c>
      <c r="K123" s="182">
        <f t="shared" ref="K123:K126" si="126">K122-G123</f>
        <v>16.170000000000002</v>
      </c>
      <c r="L123" s="182">
        <f t="shared" ref="L123:L144" si="127">L122-G123</f>
        <v>46.17</v>
      </c>
      <c r="N123" s="182">
        <f t="shared" ref="N123:N126" si="128">N122-G123</f>
        <v>9.0300000000000011</v>
      </c>
      <c r="O123" s="182">
        <f t="shared" si="104"/>
        <v>95.23999999999991</v>
      </c>
      <c r="R123" s="182">
        <f t="shared" si="125"/>
        <v>51.89</v>
      </c>
      <c r="U123" s="184">
        <f t="shared" si="97"/>
        <v>-1.6500000000000492</v>
      </c>
      <c r="V123" s="201">
        <f>IF(H122="AFIII",VLOOKUP(D123,Sheet1!$A$4:$H$18,5,FALSE),IF(H122="UBIII",VLOOKUP(D123,Sheet1!$A$4:$H$18,8,FALSE),IF(H122="",VLOOKUP(D123,Sheet1!$A$4:$H$18,2,FALSE),"0")))</f>
        <v>1768</v>
      </c>
      <c r="W123" s="201">
        <f t="shared" si="82"/>
        <v>0</v>
      </c>
      <c r="X123" s="208">
        <f t="shared" si="109"/>
        <v>1725</v>
      </c>
      <c r="Y123" s="171" t="str">
        <f t="shared" si="84"/>
        <v>SUCCESS</v>
      </c>
      <c r="Z123" s="171" t="str">
        <f t="shared" si="85"/>
        <v>SUCCESS</v>
      </c>
      <c r="AA123" s="185">
        <f t="shared" si="98"/>
        <v>155.07803515689159</v>
      </c>
    </row>
    <row r="124" spans="1:27">
      <c r="A124" s="112">
        <f>ROUNDDOWN(IF(N123-G124&gt;0,(IF(H123="AFIII",VLOOKUP(D124,Sheet1!$K$4:$S$19,5,FALSE),IF(H123="UBIII",VLOOKUP(D124,Sheet1!$K$4:$S$19,8,FALSE),VLOOKUP(D124,Sheet1!$K$4:$S$19,2,FALSE)))*1.2),IF(H123="AFIII",VLOOKUP(D124,Sheet1!$K$4:$S$19,5,FALSE),IF(H123="UBIII",VLOOKUP(D124,Sheet1!$K$4:$S$19,8,FALSE),VLOOKUP(D124,Sheet1!$K$4:$S$19,2,FALSE)))),0)</f>
        <v>518</v>
      </c>
      <c r="B124" s="113">
        <f t="shared" si="77"/>
        <v>47716</v>
      </c>
      <c r="C124" s="118">
        <f>C123+G124</f>
        <v>306.74000000000029</v>
      </c>
      <c r="D124" s="181" t="s">
        <v>129</v>
      </c>
      <c r="E124" s="182">
        <f>IF(H123="AFIII",VLOOKUP($D124,Sheet1!$A$34:$K$48,5,FALSE),IF(H123="UBIII",VLOOKUP($D124,Sheet1!$A$34:$K$48,8,FALSE),VLOOKUP($D124,Sheet1!$A$34:$K$48,2,FALSE)))</f>
        <v>2.39</v>
      </c>
      <c r="F124" s="182">
        <f>ROUNDDOWN((IF(H123="AFIII",VLOOKUP($D124,Sheet1!$A$34:$K$48,5,FALSE),IF(H123="UBIII",VLOOKUP($D124,Sheet1!$A$34:$K$48,8,FALSE),VLOOKUP($D124,Sheet1!$A$34:$K$48,2,FALSE))))*0.85,2)</f>
        <v>2.0299999999999998</v>
      </c>
      <c r="G124" s="182">
        <f t="shared" si="120"/>
        <v>2.39</v>
      </c>
      <c r="H124" s="183" t="s">
        <v>84</v>
      </c>
      <c r="I124" s="182">
        <v>10</v>
      </c>
      <c r="K124" s="182">
        <f t="shared" si="126"/>
        <v>13.780000000000001</v>
      </c>
      <c r="L124" s="182">
        <f t="shared" si="127"/>
        <v>43.78</v>
      </c>
      <c r="N124" s="182">
        <f t="shared" si="128"/>
        <v>6.6400000000000006</v>
      </c>
      <c r="O124" s="182">
        <f t="shared" si="104"/>
        <v>92.849999999999909</v>
      </c>
      <c r="R124" s="182">
        <f>R123-G124</f>
        <v>49.5</v>
      </c>
      <c r="S124" s="183" t="s">
        <v>87</v>
      </c>
      <c r="T124" s="182">
        <v>30</v>
      </c>
      <c r="U124" s="184">
        <v>90</v>
      </c>
      <c r="V124" s="201">
        <f>IF(H123="AFIII",VLOOKUP(D124,Sheet1!$A$4:$H$18,5,FALSE),IF(H123="UBIII",VLOOKUP(D124,Sheet1!$A$4:$H$18,8,FALSE),IF(H123="",VLOOKUP(D124,Sheet1!$A$4:$H$18,2,FALSE),"0")))</f>
        <v>0</v>
      </c>
      <c r="W124" s="201">
        <f t="shared" si="82"/>
        <v>0</v>
      </c>
      <c r="X124" s="208">
        <f>IF(M124="コンバート",(IF(D124="フレア",0,IF(X123-V124+W124&gt;$X$3,$X$3-V124,X123-V124+W124)))+$X$1,IF(D124="フレア",0,IF(X123-V124+W124&gt;$X$3,$X$3-V124,X123-V124+W124)))</f>
        <v>1725</v>
      </c>
      <c r="Y124" s="171" t="str">
        <f t="shared" si="84"/>
        <v>SUCCESS</v>
      </c>
      <c r="Z124" s="171" t="str">
        <f t="shared" si="85"/>
        <v>SUCCESS</v>
      </c>
      <c r="AA124" s="185">
        <f t="shared" si="98"/>
        <v>155.55845341331406</v>
      </c>
    </row>
    <row r="125" spans="1:27">
      <c r="A125" s="112">
        <f>ROUNDDOWN(IF(N124-G125&gt;0,(IF(H124="AFIII",VLOOKUP(D125,Sheet1!$K$4:$S$19,5,FALSE),IF(H124="UBIII",VLOOKUP(D125,Sheet1!$K$4:$S$19,8,FALSE),VLOOKUP(D125,Sheet1!$K$4:$S$19,2,FALSE)))*1.2),IF(H124="AFIII",VLOOKUP(D125,Sheet1!$K$4:$S$19,5,FALSE),IF(H124="UBIII",VLOOKUP(D125,Sheet1!$K$4:$S$19,8,FALSE),VLOOKUP(D125,Sheet1!$K$4:$S$19,2,FALSE)))),0)</f>
        <v>201</v>
      </c>
      <c r="B125" s="113">
        <f t="shared" si="77"/>
        <v>47917</v>
      </c>
      <c r="C125" s="118">
        <f t="shared" ref="C125:C150" si="129">C124+G125</f>
        <v>308.77000000000027</v>
      </c>
      <c r="D125" s="181" t="s">
        <v>12</v>
      </c>
      <c r="E125" s="182">
        <f>IF(H124="AFIII",VLOOKUP($D125,Sheet1!$A$34:$K$48,5,FALSE),IF(H124="UBIII",VLOOKUP($D125,Sheet1!$A$34:$K$48,8,FALSE),VLOOKUP($D125,Sheet1!$A$34:$K$48,2,FALSE)))</f>
        <v>1.67</v>
      </c>
      <c r="F125" s="182">
        <f>ROUNDDOWN((IF(H124="AFIII",VLOOKUP($D125,Sheet1!$A$34:$K$48,5,FALSE),IF(H124="UBIII",VLOOKUP($D125,Sheet1!$A$34:$K$48,8,FALSE),VLOOKUP($D125,Sheet1!$A$34:$K$48,2,FALSE))))*0.85,2)</f>
        <v>1.41</v>
      </c>
      <c r="G125" s="182">
        <f>IF(M124="迅速",IF(S124="黒魔紋",$F$1,$E$1),IF(S124="黒魔紋",IF(F125&lt;$F$1,$F$1,F125),IF(E125&lt;$E$1,$E$1,E125)))</f>
        <v>2.0299999999999998</v>
      </c>
      <c r="H125" s="183" t="s">
        <v>122</v>
      </c>
      <c r="I125" s="182">
        <v>10</v>
      </c>
      <c r="K125" s="182">
        <f t="shared" si="126"/>
        <v>11.750000000000002</v>
      </c>
      <c r="L125" s="182">
        <f t="shared" si="127"/>
        <v>41.75</v>
      </c>
      <c r="N125" s="182">
        <f t="shared" si="128"/>
        <v>4.6100000000000012</v>
      </c>
      <c r="O125" s="182">
        <f t="shared" si="104"/>
        <v>90.819999999999908</v>
      </c>
      <c r="R125" s="182">
        <f t="shared" ref="R125:R139" si="130">R124-G125</f>
        <v>47.47</v>
      </c>
      <c r="S125" s="183" t="s">
        <v>87</v>
      </c>
      <c r="T125" s="182">
        <f t="shared" ref="T125:T129" si="131">T124-G125</f>
        <v>27.97</v>
      </c>
      <c r="U125" s="184">
        <f t="shared" ref="U125:U170" si="132">U124-G125</f>
        <v>87.97</v>
      </c>
      <c r="V125" s="201">
        <f>IF(H124="AFIII",VLOOKUP(D125,Sheet1!$A$4:$H$18,5,FALSE),IF(H124="UBIII",VLOOKUP(D125,Sheet1!$A$4:$H$18,8,FALSE),IF(H124="",VLOOKUP(D125,Sheet1!$A$4:$H$18,2,FALSE),"0")))</f>
        <v>265</v>
      </c>
      <c r="W125" s="201">
        <f t="shared" si="82"/>
        <v>0</v>
      </c>
      <c r="X125" s="208">
        <f t="shared" ref="X125:X150" si="133">IF(M125="コンバート",(IF(D125="フレア",0,IF(X124-V125+W125&gt;$X$3,$X$3-V125,X124-V125+W125)))+$X$1,IF(D125="フレア",0,IF(X124-V125+W125&gt;$X$3,$X$3-V125,X124-V125+W125)))</f>
        <v>1460</v>
      </c>
      <c r="Y125" s="171" t="str">
        <f t="shared" si="84"/>
        <v>SUCCESS</v>
      </c>
      <c r="Z125" s="171" t="str">
        <f t="shared" si="85"/>
        <v>SUCCESS</v>
      </c>
      <c r="AA125" s="185">
        <f t="shared" si="98"/>
        <v>155.18670855329196</v>
      </c>
    </row>
    <row r="126" spans="1:27">
      <c r="A126" s="112">
        <f>ROUNDDOWN(IF(N125-G126&gt;0,(IF(H125="AFIII",VLOOKUP(D126,Sheet1!$K$4:$S$19,5,FALSE),IF(H125="UBIII",VLOOKUP(D126,Sheet1!$K$4:$S$19,8,FALSE),VLOOKUP(D126,Sheet1!$K$4:$S$19,2,FALSE)))*1.2),IF(H125="AFIII",VLOOKUP(D126,Sheet1!$K$4:$S$19,5,FALSE),IF(H125="UBIII",VLOOKUP(D126,Sheet1!$K$4:$S$19,8,FALSE),VLOOKUP(D126,Sheet1!$K$4:$S$19,2,FALSE)))),0)</f>
        <v>354</v>
      </c>
      <c r="B126" s="113">
        <f t="shared" si="77"/>
        <v>48271</v>
      </c>
      <c r="C126" s="118">
        <f t="shared" si="129"/>
        <v>311.20000000000027</v>
      </c>
      <c r="D126" s="181" t="s">
        <v>19</v>
      </c>
      <c r="E126" s="182">
        <f>IF(H125="AFIII",VLOOKUP($D126,Sheet1!$A$34:$K$48,5,FALSE),IF(H125="UBIII",VLOOKUP($D126,Sheet1!$A$34:$K$48,8,FALSE),VLOOKUP($D126,Sheet1!$A$34:$K$48,2,FALSE)))</f>
        <v>2.86</v>
      </c>
      <c r="F126" s="182">
        <f>ROUNDDOWN((IF(H125="AFIII",VLOOKUP($D126,Sheet1!$A$34:$K$48,5,FALSE),IF(H125="UBIII",VLOOKUP($D126,Sheet1!$A$34:$K$48,8,FALSE),VLOOKUP($D126,Sheet1!$A$34:$K$48,2,FALSE))))*0.85,2)</f>
        <v>2.4300000000000002</v>
      </c>
      <c r="G126" s="182">
        <f>IF(M125="迅速",IF(S125="黒魔紋",$F$1,$E$1),IF(S125="黒魔紋",IF(F126&lt;$F$1,$F$1,F126),IF(E126&lt;$E$1,$E$1,E126)))</f>
        <v>2.4300000000000002</v>
      </c>
      <c r="H126" s="183" t="s">
        <v>122</v>
      </c>
      <c r="I126" s="182">
        <f t="shared" ref="I126:I127" si="134">I125-G126</f>
        <v>7.57</v>
      </c>
      <c r="K126" s="182">
        <f t="shared" si="126"/>
        <v>9.3200000000000021</v>
      </c>
      <c r="L126" s="182">
        <f t="shared" si="127"/>
        <v>39.32</v>
      </c>
      <c r="N126" s="182">
        <f t="shared" si="128"/>
        <v>2.180000000000001</v>
      </c>
      <c r="O126" s="182">
        <f t="shared" si="104"/>
        <v>88.389999999999901</v>
      </c>
      <c r="P126" s="183" t="s">
        <v>17</v>
      </c>
      <c r="Q126" s="182">
        <v>21</v>
      </c>
      <c r="R126" s="182">
        <f t="shared" si="130"/>
        <v>45.04</v>
      </c>
      <c r="S126" s="183" t="s">
        <v>87</v>
      </c>
      <c r="T126" s="182">
        <f t="shared" si="131"/>
        <v>25.54</v>
      </c>
      <c r="U126" s="184">
        <f t="shared" si="132"/>
        <v>85.539999999999992</v>
      </c>
      <c r="V126" s="201">
        <f>IF(H125="AFIII",VLOOKUP(D126,Sheet1!$A$4:$H$18,5,FALSE),IF(H125="UBIII",VLOOKUP(D126,Sheet1!$A$4:$H$18,8,FALSE),IF(H125="",VLOOKUP(D126,Sheet1!$A$4:$H$18,2,FALSE),"0")))</f>
        <v>1060</v>
      </c>
      <c r="W126" s="201">
        <f t="shared" si="82"/>
        <v>7033</v>
      </c>
      <c r="X126" s="208">
        <f t="shared" si="133"/>
        <v>7433</v>
      </c>
      <c r="Y126" s="171" t="str">
        <f t="shared" si="84"/>
        <v>SUCCESS</v>
      </c>
      <c r="Z126" s="171" t="str">
        <f t="shared" si="85"/>
        <v>SUCCESS</v>
      </c>
      <c r="AA126" s="185">
        <f t="shared" si="98"/>
        <v>155.11246786632378</v>
      </c>
    </row>
    <row r="127" spans="1:27">
      <c r="A127" s="119">
        <f>ROUNDDOWN(IF(N126-G127&gt;0,(IF(H126="AFIII",VLOOKUP(D127,Sheet1!$K$4:$S$19,5,FALSE),IF(H126="UBIII",VLOOKUP(D127,Sheet1!$K$4:$S$19,8,FALSE),VLOOKUP(D127,Sheet1!$K$4:$S$19,2,FALSE)))*1.2),IF(H126="AFIII",VLOOKUP(D127,Sheet1!$K$4:$S$19,5,FALSE),IF(H126="UBIII",VLOOKUP(D127,Sheet1!$K$4:$S$19,8,FALSE),VLOOKUP(D127,Sheet1!$K$4:$S$19,2,FALSE)))),0)</f>
        <v>280</v>
      </c>
      <c r="B127" s="120">
        <f t="shared" si="77"/>
        <v>48551</v>
      </c>
      <c r="C127" s="121">
        <f t="shared" si="129"/>
        <v>313.63000000000028</v>
      </c>
      <c r="D127" s="191" t="s">
        <v>14</v>
      </c>
      <c r="E127" s="192">
        <f>IF(H126="AFIII",VLOOKUP($D127,Sheet1!$A$34:$K$48,5,FALSE),IF(H126="UBIII",VLOOKUP($D127,Sheet1!$A$34:$K$48,8,FALSE),VLOOKUP($D127,Sheet1!$A$34:$K$48,2,FALSE)))</f>
        <v>2.86</v>
      </c>
      <c r="F127" s="192">
        <f>ROUNDDOWN((IF(H126="AFIII",VLOOKUP($D127,Sheet1!$A$34:$K$48,5,FALSE),IF(H126="UBIII",VLOOKUP($D127,Sheet1!$A$34:$K$48,8,FALSE),VLOOKUP($D127,Sheet1!$A$34:$K$48,2,FALSE))))*0.85,2)</f>
        <v>2.4300000000000002</v>
      </c>
      <c r="G127" s="192">
        <f t="shared" ref="G127:G150" si="135">IF(M126="迅速",IF(S126="黒魔紋",$F$1,$E$1),IF(S126="黒魔紋",IF(F127&lt;$F$1,$F$1,F127),IF(E127&lt;$E$1,$E$1,E127)))</f>
        <v>2.4300000000000002</v>
      </c>
      <c r="H127" s="193" t="s">
        <v>122</v>
      </c>
      <c r="I127" s="192">
        <f t="shared" si="134"/>
        <v>5.1400000000000006</v>
      </c>
      <c r="J127" s="193"/>
      <c r="K127" s="192">
        <v>25</v>
      </c>
      <c r="L127" s="192">
        <f t="shared" si="127"/>
        <v>36.89</v>
      </c>
      <c r="M127" s="193"/>
      <c r="N127" s="192"/>
      <c r="O127" s="192">
        <f t="shared" si="104"/>
        <v>85.959999999999894</v>
      </c>
      <c r="P127" s="193"/>
      <c r="Q127" s="192">
        <f>Q126-G127</f>
        <v>18.57</v>
      </c>
      <c r="R127" s="192">
        <f t="shared" si="130"/>
        <v>42.61</v>
      </c>
      <c r="S127" s="193" t="s">
        <v>87</v>
      </c>
      <c r="T127" s="192">
        <f t="shared" si="131"/>
        <v>23.11</v>
      </c>
      <c r="U127" s="194">
        <f t="shared" si="132"/>
        <v>83.109999999999985</v>
      </c>
      <c r="V127" s="211">
        <f>IF(H126="AFIII",VLOOKUP(D127,Sheet1!$A$4:$H$18,5,FALSE),IF(H126="UBIII",VLOOKUP(D127,Sheet1!$A$4:$H$18,8,FALSE),IF(H126="",VLOOKUP(D127,Sheet1!$A$4:$H$18,2,FALSE),"0")))</f>
        <v>884</v>
      </c>
      <c r="W127" s="211">
        <f t="shared" si="82"/>
        <v>7033</v>
      </c>
      <c r="X127" s="212">
        <f t="shared" si="133"/>
        <v>10475</v>
      </c>
      <c r="Y127" s="195" t="str">
        <f t="shared" si="84"/>
        <v>SUCCESS</v>
      </c>
      <c r="Z127" s="195" t="str">
        <f t="shared" si="85"/>
        <v>SUCCESS</v>
      </c>
      <c r="AA127" s="185">
        <f t="shared" si="98"/>
        <v>154.80343079424787</v>
      </c>
    </row>
    <row r="128" spans="1:27">
      <c r="A128" s="112">
        <f>ROUNDDOWN(IF(N127-G128&gt;0,(IF(H127="AFIII",VLOOKUP(D128,Sheet1!$K$4:$S$19,5,FALSE),IF(H127="UBIII",VLOOKUP(D128,Sheet1!$K$4:$S$19,8,FALSE),VLOOKUP(D128,Sheet1!$K$4:$S$19,2,FALSE)))*1.2),IF(H127="AFIII",VLOOKUP(D128,Sheet1!$K$4:$S$19,5,FALSE),IF(H127="UBIII",VLOOKUP(D128,Sheet1!$K$4:$S$19,8,FALSE),VLOOKUP(D128,Sheet1!$K$4:$S$19,2,FALSE)))),0)</f>
        <v>168</v>
      </c>
      <c r="B128" s="113">
        <f t="shared" si="77"/>
        <v>48719</v>
      </c>
      <c r="C128" s="118">
        <f t="shared" si="129"/>
        <v>315.66000000000025</v>
      </c>
      <c r="D128" s="181" t="s">
        <v>4</v>
      </c>
      <c r="E128" s="182">
        <f>IF(H127="AFIII",VLOOKUP($D128,Sheet1!$A$34:$K$48,5,FALSE),IF(H127="UBIII",VLOOKUP($D128,Sheet1!$A$34:$K$48,8,FALSE),VLOOKUP($D128,Sheet1!$A$34:$K$48,2,FALSE)))</f>
        <v>1.67</v>
      </c>
      <c r="F128" s="182">
        <f>ROUNDDOWN((IF(H127="AFIII",VLOOKUP($D128,Sheet1!$A$34:$K$48,5,FALSE),IF(H127="UBIII",VLOOKUP($D128,Sheet1!$A$34:$K$48,8,FALSE),VLOOKUP($D128,Sheet1!$A$34:$K$48,2,FALSE))))*0.85,2)</f>
        <v>1.41</v>
      </c>
      <c r="G128" s="182">
        <f t="shared" si="135"/>
        <v>2.0299999999999998</v>
      </c>
      <c r="H128" s="183" t="s">
        <v>84</v>
      </c>
      <c r="I128" s="182">
        <v>10</v>
      </c>
      <c r="K128" s="182">
        <f>K127-G128</f>
        <v>22.97</v>
      </c>
      <c r="L128" s="182">
        <f t="shared" si="127"/>
        <v>34.86</v>
      </c>
      <c r="O128" s="182">
        <f t="shared" si="104"/>
        <v>83.929999999999893</v>
      </c>
      <c r="Q128" s="182">
        <f t="shared" ref="Q128:Q134" si="136">Q127-G128</f>
        <v>16.54</v>
      </c>
      <c r="R128" s="182">
        <f t="shared" si="130"/>
        <v>40.58</v>
      </c>
      <c r="S128" s="183" t="s">
        <v>87</v>
      </c>
      <c r="T128" s="182">
        <f t="shared" si="131"/>
        <v>21.08</v>
      </c>
      <c r="U128" s="184">
        <f t="shared" si="132"/>
        <v>81.079999999999984</v>
      </c>
      <c r="V128" s="201">
        <f>IF(H127="AFIII",VLOOKUP(D128,Sheet1!$A$4:$H$18,5,FALSE),IF(H127="UBIII",VLOOKUP(D128,Sheet1!$A$4:$H$18,8,FALSE),IF(H127="",VLOOKUP(D128,Sheet1!$A$4:$H$18,2,FALSE),"0")))</f>
        <v>442</v>
      </c>
      <c r="W128" s="201">
        <f t="shared" si="82"/>
        <v>7033</v>
      </c>
      <c r="X128" s="208">
        <f t="shared" si="133"/>
        <v>10917</v>
      </c>
      <c r="Y128" s="171" t="str">
        <f t="shared" si="84"/>
        <v>SUCCESS</v>
      </c>
      <c r="Z128" s="171" t="str">
        <f t="shared" si="85"/>
        <v>SUCCESS</v>
      </c>
      <c r="AA128" s="185">
        <f t="shared" si="98"/>
        <v>154.34011277957285</v>
      </c>
    </row>
    <row r="129" spans="1:27">
      <c r="A129" s="112">
        <f>ROUNDDOWN(IF(N128-G129&gt;0,(IF(H128="AFIII",VLOOKUP(D129,Sheet1!$K$4:$S$19,5,FALSE),IF(H128="UBIII",VLOOKUP(D129,Sheet1!$K$4:$S$19,8,FALSE),VLOOKUP(D129,Sheet1!$K$4:$S$19,2,FALSE)))*1.2),IF(H128="AFIII",VLOOKUP(D129,Sheet1!$K$4:$S$19,5,FALSE),IF(H128="UBIII",VLOOKUP(D129,Sheet1!$K$4:$S$19,8,FALSE),VLOOKUP(D129,Sheet1!$K$4:$S$19,2,FALSE)))),0)</f>
        <v>504</v>
      </c>
      <c r="B129" s="113">
        <f t="shared" si="77"/>
        <v>49223</v>
      </c>
      <c r="C129" s="118">
        <f t="shared" si="129"/>
        <v>318.09000000000026</v>
      </c>
      <c r="D129" s="181" t="s">
        <v>6</v>
      </c>
      <c r="E129" s="182">
        <f>IF(H128="AFIII",VLOOKUP($D129,Sheet1!$A$34:$K$48,5,FALSE),IF(H128="UBIII",VLOOKUP($D129,Sheet1!$A$34:$K$48,8,FALSE),VLOOKUP($D129,Sheet1!$A$34:$K$48,2,FALSE)))</f>
        <v>2.86</v>
      </c>
      <c r="F129" s="182">
        <f>ROUNDDOWN((IF(H128="AFIII",VLOOKUP($D129,Sheet1!$A$34:$K$48,5,FALSE),IF(H128="UBIII",VLOOKUP($D129,Sheet1!$A$34:$K$48,8,FALSE),VLOOKUP($D129,Sheet1!$A$34:$K$48,2,FALSE))))*0.85,2)</f>
        <v>2.4300000000000002</v>
      </c>
      <c r="G129" s="182">
        <f t="shared" si="135"/>
        <v>2.4300000000000002</v>
      </c>
      <c r="H129" s="183" t="s">
        <v>84</v>
      </c>
      <c r="I129" s="182">
        <f>I128-G129</f>
        <v>7.57</v>
      </c>
      <c r="K129" s="182">
        <f t="shared" ref="K129:K135" si="137">K128-G129</f>
        <v>20.54</v>
      </c>
      <c r="L129" s="182">
        <f t="shared" si="127"/>
        <v>32.43</v>
      </c>
      <c r="O129" s="182">
        <f t="shared" si="104"/>
        <v>81.499999999999886</v>
      </c>
      <c r="Q129" s="182">
        <f t="shared" si="136"/>
        <v>14.11</v>
      </c>
      <c r="R129" s="182">
        <f t="shared" si="130"/>
        <v>38.15</v>
      </c>
      <c r="S129" s="183" t="s">
        <v>87</v>
      </c>
      <c r="T129" s="182">
        <f>T128-G129</f>
        <v>18.649999999999999</v>
      </c>
      <c r="U129" s="184">
        <f t="shared" si="132"/>
        <v>78.649999999999977</v>
      </c>
      <c r="V129" s="201">
        <f>IF(H128="AFIII",VLOOKUP(D129,Sheet1!$A$4:$H$18,5,FALSE),IF(H128="UBIII",VLOOKUP(D129,Sheet1!$A$4:$H$18,8,FALSE),IF(H128="",VLOOKUP(D129,Sheet1!$A$4:$H$18,2,FALSE),"0")))</f>
        <v>1768</v>
      </c>
      <c r="W129" s="201">
        <f t="shared" si="82"/>
        <v>0</v>
      </c>
      <c r="X129" s="208">
        <f t="shared" si="133"/>
        <v>9149</v>
      </c>
      <c r="Y129" s="171" t="str">
        <f t="shared" si="84"/>
        <v>SUCCESS</v>
      </c>
      <c r="Z129" s="171" t="str">
        <f t="shared" si="85"/>
        <v>SUCCESS</v>
      </c>
      <c r="AA129" s="185">
        <f t="shared" si="98"/>
        <v>154.74551227639964</v>
      </c>
    </row>
    <row r="130" spans="1:27">
      <c r="A130" s="112">
        <f>ROUNDDOWN(IF(N129-G130&gt;0,(IF(H129="AFIII",VLOOKUP(D130,Sheet1!$K$4:$S$19,5,FALSE),IF(H129="UBIII",VLOOKUP(D130,Sheet1!$K$4:$S$19,8,FALSE),VLOOKUP(D130,Sheet1!$K$4:$S$19,2,FALSE)))*1.2),IF(H129="AFIII",VLOOKUP(D130,Sheet1!$K$4:$S$19,5,FALSE),IF(H129="UBIII",VLOOKUP(D130,Sheet1!$K$4:$S$19,8,FALSE),VLOOKUP(D130,Sheet1!$K$4:$S$19,2,FALSE)))),0)</f>
        <v>504</v>
      </c>
      <c r="B130" s="113">
        <f t="shared" si="77"/>
        <v>49727</v>
      </c>
      <c r="C130" s="118">
        <f t="shared" si="129"/>
        <v>320.52000000000027</v>
      </c>
      <c r="D130" s="181" t="s">
        <v>6</v>
      </c>
      <c r="E130" s="182">
        <f>IF(H129="AFIII",VLOOKUP($D130,Sheet1!$A$34:$K$48,5,FALSE),IF(H129="UBIII",VLOOKUP($D130,Sheet1!$A$34:$K$48,8,FALSE),VLOOKUP($D130,Sheet1!$A$34:$K$48,2,FALSE)))</f>
        <v>2.86</v>
      </c>
      <c r="F130" s="182">
        <f>ROUNDDOWN((IF(H129="AFIII",VLOOKUP($D130,Sheet1!$A$34:$K$48,5,FALSE),IF(H129="UBIII",VLOOKUP($D130,Sheet1!$A$34:$K$48,8,FALSE),VLOOKUP($D130,Sheet1!$A$34:$K$48,2,FALSE))))*0.85,2)</f>
        <v>2.4300000000000002</v>
      </c>
      <c r="G130" s="182">
        <f t="shared" si="135"/>
        <v>2.4300000000000002</v>
      </c>
      <c r="H130" s="183" t="s">
        <v>84</v>
      </c>
      <c r="I130" s="182">
        <f>I129-G130</f>
        <v>5.1400000000000006</v>
      </c>
      <c r="K130" s="182">
        <f t="shared" si="137"/>
        <v>18.11</v>
      </c>
      <c r="L130" s="182">
        <f t="shared" si="127"/>
        <v>30</v>
      </c>
      <c r="O130" s="182">
        <f t="shared" si="104"/>
        <v>79.069999999999879</v>
      </c>
      <c r="Q130" s="182">
        <f t="shared" si="136"/>
        <v>11.68</v>
      </c>
      <c r="R130" s="182">
        <f t="shared" si="130"/>
        <v>35.72</v>
      </c>
      <c r="S130" s="183" t="s">
        <v>87</v>
      </c>
      <c r="T130" s="182">
        <f t="shared" ref="T130:T144" si="138">T129-G130</f>
        <v>16.22</v>
      </c>
      <c r="U130" s="184">
        <f t="shared" si="132"/>
        <v>76.21999999999997</v>
      </c>
      <c r="V130" s="201">
        <f>IF(H129="AFIII",VLOOKUP(D130,Sheet1!$A$4:$H$18,5,FALSE),IF(H129="UBIII",VLOOKUP(D130,Sheet1!$A$4:$H$18,8,FALSE),IF(H129="",VLOOKUP(D130,Sheet1!$A$4:$H$18,2,FALSE),"0")))</f>
        <v>1768</v>
      </c>
      <c r="W130" s="201">
        <f t="shared" si="82"/>
        <v>0</v>
      </c>
      <c r="X130" s="208">
        <f t="shared" si="133"/>
        <v>7381</v>
      </c>
      <c r="Y130" s="171" t="str">
        <f t="shared" si="84"/>
        <v>SUCCESS</v>
      </c>
      <c r="Z130" s="171" t="str">
        <f t="shared" si="85"/>
        <v>SUCCESS</v>
      </c>
      <c r="AA130" s="185">
        <f t="shared" si="98"/>
        <v>155.14476475726931</v>
      </c>
    </row>
    <row r="131" spans="1:27">
      <c r="A131" s="112">
        <f>ROUNDDOWN(IF(N130-G131&gt;0,(IF(H130="AFIII",VLOOKUP(D131,Sheet1!$K$4:$S$19,5,FALSE),IF(H130="UBIII",VLOOKUP(D131,Sheet1!$K$4:$S$19,8,FALSE),VLOOKUP(D131,Sheet1!$K$4:$S$19,2,FALSE)))*1.2),IF(H130="AFIII",VLOOKUP(D131,Sheet1!$K$4:$S$19,5,FALSE),IF(H130="UBIII",VLOOKUP(D131,Sheet1!$K$4:$S$19,8,FALSE),VLOOKUP(D131,Sheet1!$K$4:$S$19,2,FALSE)))),0)</f>
        <v>324</v>
      </c>
      <c r="B131" s="113">
        <f t="shared" si="77"/>
        <v>50051</v>
      </c>
      <c r="C131" s="118">
        <f t="shared" si="129"/>
        <v>322.55000000000024</v>
      </c>
      <c r="D131" s="181" t="s">
        <v>1</v>
      </c>
      <c r="E131" s="182">
        <f>IF(H130="AFIII",VLOOKUP($D131,Sheet1!$A$34:$K$48,5,FALSE),IF(H130="UBIII",VLOOKUP($D131,Sheet1!$A$34:$K$48,8,FALSE),VLOOKUP($D131,Sheet1!$A$34:$K$48,2,FALSE)))</f>
        <v>2.39</v>
      </c>
      <c r="F131" s="182">
        <f>ROUNDDOWN((IF(H130="AFIII",VLOOKUP($D131,Sheet1!$A$34:$K$48,5,FALSE),IF(H130="UBIII",VLOOKUP($D131,Sheet1!$A$34:$K$48,8,FALSE),VLOOKUP($D131,Sheet1!$A$34:$K$48,2,FALSE))))*0.85,2)</f>
        <v>2.0299999999999998</v>
      </c>
      <c r="G131" s="182">
        <f t="shared" si="135"/>
        <v>2.0299999999999998</v>
      </c>
      <c r="H131" s="183" t="s">
        <v>84</v>
      </c>
      <c r="I131" s="182">
        <v>10</v>
      </c>
      <c r="K131" s="182">
        <f t="shared" si="137"/>
        <v>16.079999999999998</v>
      </c>
      <c r="L131" s="182">
        <f t="shared" si="127"/>
        <v>27.97</v>
      </c>
      <c r="O131" s="182">
        <f t="shared" si="104"/>
        <v>77.039999999999878</v>
      </c>
      <c r="Q131" s="182">
        <f t="shared" si="136"/>
        <v>9.65</v>
      </c>
      <c r="R131" s="182">
        <f t="shared" si="130"/>
        <v>33.69</v>
      </c>
      <c r="S131" s="183" t="s">
        <v>87</v>
      </c>
      <c r="T131" s="182">
        <f t="shared" si="138"/>
        <v>14.19</v>
      </c>
      <c r="U131" s="184">
        <f t="shared" si="132"/>
        <v>74.189999999999969</v>
      </c>
      <c r="V131" s="201">
        <f>IF(H130="AFIII",VLOOKUP(D131,Sheet1!$A$4:$H$18,5,FALSE),IF(H130="UBIII",VLOOKUP(D131,Sheet1!$A$4:$H$18,8,FALSE),IF(H130="",VLOOKUP(D131,Sheet1!$A$4:$H$18,2,FALSE),"0")))</f>
        <v>2120</v>
      </c>
      <c r="W131" s="201">
        <f t="shared" si="82"/>
        <v>0</v>
      </c>
      <c r="X131" s="208">
        <f t="shared" si="133"/>
        <v>5261</v>
      </c>
      <c r="Y131" s="171" t="str">
        <f t="shared" si="84"/>
        <v>SUCCESS</v>
      </c>
      <c r="Z131" s="171" t="str">
        <f t="shared" si="85"/>
        <v>SUCCESS</v>
      </c>
      <c r="AA131" s="185">
        <f t="shared" si="98"/>
        <v>155.17284141993477</v>
      </c>
    </row>
    <row r="132" spans="1:27">
      <c r="A132" s="112">
        <f>ROUNDDOWN(IF(N131-G132&gt;0,(IF(H131="AFIII",VLOOKUP(D132,Sheet1!$K$4:$S$19,5,FALSE),IF(H131="UBIII",VLOOKUP(D132,Sheet1!$K$4:$S$19,8,FALSE),VLOOKUP(D132,Sheet1!$K$4:$S$19,2,FALSE)))*1.2),IF(H131="AFIII",VLOOKUP(D132,Sheet1!$K$4:$S$19,5,FALSE),IF(H131="UBIII",VLOOKUP(D132,Sheet1!$K$4:$S$19,8,FALSE),VLOOKUP(D132,Sheet1!$K$4:$S$19,2,FALSE)))),0)</f>
        <v>504</v>
      </c>
      <c r="B132" s="113">
        <f t="shared" si="77"/>
        <v>50555</v>
      </c>
      <c r="C132" s="118">
        <f t="shared" si="129"/>
        <v>324.98000000000025</v>
      </c>
      <c r="D132" s="181" t="s">
        <v>6</v>
      </c>
      <c r="E132" s="182">
        <f>IF(H131="AFIII",VLOOKUP($D132,Sheet1!$A$34:$K$48,5,FALSE),IF(H131="UBIII",VLOOKUP($D132,Sheet1!$A$34:$K$48,8,FALSE),VLOOKUP($D132,Sheet1!$A$34:$K$48,2,FALSE)))</f>
        <v>2.86</v>
      </c>
      <c r="F132" s="182">
        <f>ROUNDDOWN((IF(H131="AFIII",VLOOKUP($D132,Sheet1!$A$34:$K$48,5,FALSE),IF(H131="UBIII",VLOOKUP($D132,Sheet1!$A$34:$K$48,8,FALSE),VLOOKUP($D132,Sheet1!$A$34:$K$48,2,FALSE))))*0.85,2)</f>
        <v>2.4300000000000002</v>
      </c>
      <c r="G132" s="182">
        <f t="shared" si="135"/>
        <v>2.4300000000000002</v>
      </c>
      <c r="H132" s="183" t="s">
        <v>84</v>
      </c>
      <c r="I132" s="182">
        <f>I131-G132</f>
        <v>7.57</v>
      </c>
      <c r="K132" s="182">
        <f t="shared" si="137"/>
        <v>13.649999999999999</v>
      </c>
      <c r="L132" s="182">
        <f t="shared" si="127"/>
        <v>25.54</v>
      </c>
      <c r="O132" s="182">
        <f t="shared" si="104"/>
        <v>74.609999999999872</v>
      </c>
      <c r="Q132" s="182">
        <f t="shared" si="136"/>
        <v>7.2200000000000006</v>
      </c>
      <c r="R132" s="182">
        <f t="shared" si="130"/>
        <v>31.259999999999998</v>
      </c>
      <c r="S132" s="183" t="s">
        <v>87</v>
      </c>
      <c r="T132" s="182">
        <f t="shared" si="138"/>
        <v>11.76</v>
      </c>
      <c r="U132" s="184">
        <f t="shared" si="132"/>
        <v>71.759999999999962</v>
      </c>
      <c r="V132" s="201">
        <f>IF(H131="AFIII",VLOOKUP(D132,Sheet1!$A$4:$H$18,5,FALSE),IF(H131="UBIII",VLOOKUP(D132,Sheet1!$A$4:$H$18,8,FALSE),IF(H131="",VLOOKUP(D132,Sheet1!$A$4:$H$18,2,FALSE),"0")))</f>
        <v>1768</v>
      </c>
      <c r="W132" s="201">
        <f t="shared" si="82"/>
        <v>0</v>
      </c>
      <c r="X132" s="208">
        <f t="shared" si="133"/>
        <v>3493</v>
      </c>
      <c r="Y132" s="171" t="str">
        <f t="shared" si="84"/>
        <v>SUCCESS</v>
      </c>
      <c r="Z132" s="171" t="str">
        <f t="shared" si="85"/>
        <v>SUCCESS</v>
      </c>
      <c r="AA132" s="185">
        <f t="shared" si="98"/>
        <v>155.56341928734065</v>
      </c>
    </row>
    <row r="133" spans="1:27">
      <c r="A133" s="112">
        <f>ROUNDDOWN(IF(N132-G133&gt;0,(IF(H132="AFIII",VLOOKUP(D133,Sheet1!$K$4:$S$19,5,FALSE),IF(H132="UBIII",VLOOKUP(D133,Sheet1!$K$4:$S$19,8,FALSE),VLOOKUP(D133,Sheet1!$K$4:$S$19,2,FALSE)))*1.2),IF(H132="AFIII",VLOOKUP(D133,Sheet1!$K$4:$S$19,5,FALSE),IF(H132="UBIII",VLOOKUP(D133,Sheet1!$K$4:$S$19,8,FALSE),VLOOKUP(D133,Sheet1!$K$4:$S$19,2,FALSE)))),0)</f>
        <v>504</v>
      </c>
      <c r="B133" s="113">
        <f t="shared" ref="B133:B171" si="139">B132+A133</f>
        <v>51059</v>
      </c>
      <c r="C133" s="118">
        <f t="shared" si="129"/>
        <v>327.41000000000025</v>
      </c>
      <c r="D133" s="181" t="s">
        <v>6</v>
      </c>
      <c r="E133" s="182">
        <f>IF(H132="AFIII",VLOOKUP($D133,Sheet1!$A$34:$K$48,5,FALSE),IF(H132="UBIII",VLOOKUP($D133,Sheet1!$A$34:$K$48,8,FALSE),VLOOKUP($D133,Sheet1!$A$34:$K$48,2,FALSE)))</f>
        <v>2.86</v>
      </c>
      <c r="F133" s="182">
        <f>ROUNDDOWN((IF(H132="AFIII",VLOOKUP($D133,Sheet1!$A$34:$K$48,5,FALSE),IF(H132="UBIII",VLOOKUP($D133,Sheet1!$A$34:$K$48,8,FALSE),VLOOKUP($D133,Sheet1!$A$34:$K$48,2,FALSE))))*0.85,2)</f>
        <v>2.4300000000000002</v>
      </c>
      <c r="G133" s="182">
        <f t="shared" si="135"/>
        <v>2.4300000000000002</v>
      </c>
      <c r="H133" s="183" t="s">
        <v>84</v>
      </c>
      <c r="I133" s="182">
        <f>I132-G133</f>
        <v>5.1400000000000006</v>
      </c>
      <c r="K133" s="182">
        <f t="shared" si="137"/>
        <v>11.219999999999999</v>
      </c>
      <c r="L133" s="182">
        <f t="shared" si="127"/>
        <v>23.11</v>
      </c>
      <c r="O133" s="182">
        <f t="shared" si="104"/>
        <v>72.179999999999865</v>
      </c>
      <c r="Q133" s="182">
        <f t="shared" si="136"/>
        <v>4.7900000000000009</v>
      </c>
      <c r="R133" s="182">
        <f t="shared" si="130"/>
        <v>28.83</v>
      </c>
      <c r="S133" s="183" t="s">
        <v>87</v>
      </c>
      <c r="T133" s="182">
        <f t="shared" si="138"/>
        <v>9.33</v>
      </c>
      <c r="U133" s="184">
        <f t="shared" si="132"/>
        <v>69.329999999999956</v>
      </c>
      <c r="V133" s="201">
        <f>IF(H132="AFIII",VLOOKUP(D133,Sheet1!$A$4:$H$18,5,FALSE),IF(H132="UBIII",VLOOKUP(D133,Sheet1!$A$4:$H$18,8,FALSE),IF(H132="",VLOOKUP(D133,Sheet1!$A$4:$H$18,2,FALSE),"0")))</f>
        <v>1768</v>
      </c>
      <c r="W133" s="201">
        <f t="shared" ref="W133:W171" si="140">IF(H132="UBIII",$X$2,0)</f>
        <v>0</v>
      </c>
      <c r="X133" s="208">
        <f t="shared" si="133"/>
        <v>1725</v>
      </c>
      <c r="Y133" s="171" t="str">
        <f t="shared" ref="Y133:Y171" si="141">IF(X132-V133&lt;0,"ERROR","SUCCESS")</f>
        <v>SUCCESS</v>
      </c>
      <c r="Z133" s="171" t="str">
        <f t="shared" ref="Z133:Z171" si="142">IF(K132-G133&lt;0,"ERROR","SUCCESS")</f>
        <v>SUCCESS</v>
      </c>
      <c r="AA133" s="185">
        <f t="shared" si="98"/>
        <v>155.94819950520741</v>
      </c>
    </row>
    <row r="134" spans="1:27">
      <c r="A134" s="112">
        <f>ROUNDDOWN(IF(N133-G134&gt;0,(IF(H133="AFIII",VLOOKUP(D134,Sheet1!$K$4:$S$19,5,FALSE),IF(H133="UBIII",VLOOKUP(D134,Sheet1!$K$4:$S$19,8,FALSE),VLOOKUP(D134,Sheet1!$K$4:$S$19,2,FALSE)))*1.2),IF(H133="AFIII",VLOOKUP(D134,Sheet1!$K$4:$S$19,5,FALSE),IF(H133="UBIII",VLOOKUP(D134,Sheet1!$K$4:$S$19,8,FALSE),VLOOKUP(D134,Sheet1!$K$4:$S$19,2,FALSE)))),0)</f>
        <v>168</v>
      </c>
      <c r="B134" s="113">
        <f t="shared" si="139"/>
        <v>51227</v>
      </c>
      <c r="C134" s="118">
        <f t="shared" si="129"/>
        <v>329.44000000000023</v>
      </c>
      <c r="D134" s="181" t="s">
        <v>12</v>
      </c>
      <c r="E134" s="182">
        <f>IF(H133="AFIII",VLOOKUP($D134,Sheet1!$A$34:$K$48,5,FALSE),IF(H133="UBIII",VLOOKUP($D134,Sheet1!$A$34:$K$48,8,FALSE),VLOOKUP($D134,Sheet1!$A$34:$K$48,2,FALSE)))</f>
        <v>1.67</v>
      </c>
      <c r="F134" s="182">
        <f>ROUNDDOWN((IF(H133="AFIII",VLOOKUP($D134,Sheet1!$A$34:$K$48,5,FALSE),IF(H133="UBIII",VLOOKUP($D134,Sheet1!$A$34:$K$48,8,FALSE),VLOOKUP($D134,Sheet1!$A$34:$K$48,2,FALSE))))*0.85,2)</f>
        <v>1.41</v>
      </c>
      <c r="G134" s="182">
        <f t="shared" si="135"/>
        <v>2.0299999999999998</v>
      </c>
      <c r="H134" s="183" t="s">
        <v>122</v>
      </c>
      <c r="I134" s="182">
        <v>10</v>
      </c>
      <c r="K134" s="182">
        <f t="shared" si="137"/>
        <v>9.19</v>
      </c>
      <c r="L134" s="182">
        <f t="shared" si="127"/>
        <v>21.08</v>
      </c>
      <c r="O134" s="182">
        <f t="shared" si="104"/>
        <v>70.149999999999864</v>
      </c>
      <c r="Q134" s="182">
        <f t="shared" si="136"/>
        <v>2.7600000000000011</v>
      </c>
      <c r="R134" s="182">
        <f t="shared" si="130"/>
        <v>26.799999999999997</v>
      </c>
      <c r="S134" s="183" t="s">
        <v>87</v>
      </c>
      <c r="T134" s="182">
        <f t="shared" si="138"/>
        <v>7.3000000000000007</v>
      </c>
      <c r="U134" s="184">
        <f t="shared" si="132"/>
        <v>67.299999999999955</v>
      </c>
      <c r="V134" s="201">
        <f>IF(H133="AFIII",VLOOKUP(D134,Sheet1!$A$4:$H$18,5,FALSE),IF(H133="UBIII",VLOOKUP(D134,Sheet1!$A$4:$H$18,8,FALSE),IF(H133="",VLOOKUP(D134,Sheet1!$A$4:$H$18,2,FALSE),"0")))</f>
        <v>265</v>
      </c>
      <c r="W134" s="201">
        <f t="shared" si="140"/>
        <v>0</v>
      </c>
      <c r="X134" s="208">
        <f t="shared" si="133"/>
        <v>1460</v>
      </c>
      <c r="Y134" s="171" t="str">
        <f t="shared" si="141"/>
        <v>SUCCESS</v>
      </c>
      <c r="Z134" s="171" t="str">
        <f t="shared" si="142"/>
        <v>SUCCESS</v>
      </c>
      <c r="AA134" s="185">
        <f t="shared" si="98"/>
        <v>155.49720738222427</v>
      </c>
    </row>
    <row r="135" spans="1:27">
      <c r="A135" s="112">
        <f>ROUNDDOWN(IF(N134-G135&gt;0,(IF(H134="AFIII",VLOOKUP(D135,Sheet1!$K$4:$S$19,5,FALSE),IF(H134="UBIII",VLOOKUP(D135,Sheet1!$K$4:$S$19,8,FALSE),VLOOKUP(D135,Sheet1!$K$4:$S$19,2,FALSE)))*1.2),IF(H134="AFIII",VLOOKUP(D135,Sheet1!$K$4:$S$19,5,FALSE),IF(H134="UBIII",VLOOKUP(D135,Sheet1!$K$4:$S$19,8,FALSE),VLOOKUP(D135,Sheet1!$K$4:$S$19,2,FALSE)))),0)</f>
        <v>295</v>
      </c>
      <c r="B135" s="113">
        <f t="shared" si="139"/>
        <v>51522</v>
      </c>
      <c r="C135" s="118">
        <f t="shared" si="129"/>
        <v>331.87000000000023</v>
      </c>
      <c r="D135" s="181" t="s">
        <v>19</v>
      </c>
      <c r="E135" s="182">
        <f>IF(H134="AFIII",VLOOKUP($D135,Sheet1!$A$34:$K$48,5,FALSE),IF(H134="UBIII",VLOOKUP($D135,Sheet1!$A$34:$K$48,8,FALSE),VLOOKUP($D135,Sheet1!$A$34:$K$48,2,FALSE)))</f>
        <v>2.86</v>
      </c>
      <c r="F135" s="182">
        <f>ROUNDDOWN((IF(H134="AFIII",VLOOKUP($D135,Sheet1!$A$34:$K$48,5,FALSE),IF(H134="UBIII",VLOOKUP($D135,Sheet1!$A$34:$K$48,8,FALSE),VLOOKUP($D135,Sheet1!$A$34:$K$48,2,FALSE))))*0.85,2)</f>
        <v>2.4300000000000002</v>
      </c>
      <c r="G135" s="182">
        <f t="shared" si="135"/>
        <v>2.4300000000000002</v>
      </c>
      <c r="H135" s="183" t="s">
        <v>122</v>
      </c>
      <c r="I135" s="182">
        <f>I134-G135</f>
        <v>7.57</v>
      </c>
      <c r="K135" s="182">
        <f t="shared" si="137"/>
        <v>6.76</v>
      </c>
      <c r="L135" s="182">
        <f t="shared" si="127"/>
        <v>18.649999999999999</v>
      </c>
      <c r="O135" s="182">
        <f t="shared" si="104"/>
        <v>67.719999999999857</v>
      </c>
      <c r="P135" s="183" t="s">
        <v>250</v>
      </c>
      <c r="Q135" s="182">
        <v>21</v>
      </c>
      <c r="R135" s="182">
        <f t="shared" si="130"/>
        <v>24.369999999999997</v>
      </c>
      <c r="S135" s="183" t="s">
        <v>87</v>
      </c>
      <c r="T135" s="182">
        <f t="shared" si="138"/>
        <v>4.870000000000001</v>
      </c>
      <c r="U135" s="184">
        <f t="shared" si="132"/>
        <v>64.869999999999948</v>
      </c>
      <c r="V135" s="201">
        <f>IF(H134="AFIII",VLOOKUP(D135,Sheet1!$A$4:$H$18,5,FALSE),IF(H134="UBIII",VLOOKUP(D135,Sheet1!$A$4:$H$18,8,FALSE),IF(H134="",VLOOKUP(D135,Sheet1!$A$4:$H$18,2,FALSE),"0")))</f>
        <v>1060</v>
      </c>
      <c r="W135" s="201">
        <f t="shared" si="140"/>
        <v>7033</v>
      </c>
      <c r="X135" s="208">
        <f t="shared" si="133"/>
        <v>7433</v>
      </c>
      <c r="Y135" s="171" t="str">
        <f t="shared" si="141"/>
        <v>SUCCESS</v>
      </c>
      <c r="Z135" s="171" t="str">
        <f t="shared" si="142"/>
        <v>SUCCESS</v>
      </c>
      <c r="AA135" s="185">
        <f t="shared" si="98"/>
        <v>155.24753668605166</v>
      </c>
    </row>
    <row r="136" spans="1:27">
      <c r="A136" s="119">
        <f>ROUNDDOWN(IF(N135-G136&gt;0,(IF(H135="AFIII",VLOOKUP(D136,Sheet1!$K$4:$S$19,5,FALSE),IF(H135="UBIII",VLOOKUP(D136,Sheet1!$K$4:$S$19,8,FALSE),VLOOKUP(D136,Sheet1!$K$4:$S$19,2,FALSE)))*1.2),IF(H135="AFIII",VLOOKUP(D136,Sheet1!$K$4:$S$19,5,FALSE),IF(H135="UBIII",VLOOKUP(D136,Sheet1!$K$4:$S$19,8,FALSE),VLOOKUP(D136,Sheet1!$K$4:$S$19,2,FALSE)))),0)</f>
        <v>280</v>
      </c>
      <c r="B136" s="120">
        <f t="shared" si="139"/>
        <v>51802</v>
      </c>
      <c r="C136" s="121">
        <f t="shared" si="129"/>
        <v>334.30000000000024</v>
      </c>
      <c r="D136" s="191" t="s">
        <v>14</v>
      </c>
      <c r="E136" s="192">
        <f>IF(H135="AFIII",VLOOKUP($D136,Sheet1!$A$34:$K$48,5,FALSE),IF(H135="UBIII",VLOOKUP($D136,Sheet1!$A$34:$K$48,8,FALSE),VLOOKUP($D136,Sheet1!$A$34:$K$48,2,FALSE)))</f>
        <v>2.86</v>
      </c>
      <c r="F136" s="192">
        <f>ROUNDDOWN((IF(H135="AFIII",VLOOKUP($D136,Sheet1!$A$34:$K$48,5,FALSE),IF(H135="UBIII",VLOOKUP($D136,Sheet1!$A$34:$K$48,8,FALSE),VLOOKUP($D136,Sheet1!$A$34:$K$48,2,FALSE))))*0.85,2)</f>
        <v>2.4300000000000002</v>
      </c>
      <c r="G136" s="192">
        <f t="shared" si="135"/>
        <v>2.4300000000000002</v>
      </c>
      <c r="H136" s="193" t="s">
        <v>122</v>
      </c>
      <c r="I136" s="192">
        <f>I135-G136</f>
        <v>5.1400000000000006</v>
      </c>
      <c r="J136" s="193"/>
      <c r="K136" s="192">
        <v>20</v>
      </c>
      <c r="L136" s="192">
        <f t="shared" si="127"/>
        <v>16.22</v>
      </c>
      <c r="M136" s="193"/>
      <c r="N136" s="192"/>
      <c r="O136" s="192">
        <f t="shared" si="104"/>
        <v>65.28999999999985</v>
      </c>
      <c r="P136" s="193"/>
      <c r="Q136" s="192">
        <f t="shared" ref="Q136:Q143" si="143">Q135-G136</f>
        <v>18.57</v>
      </c>
      <c r="R136" s="192">
        <f t="shared" si="130"/>
        <v>21.939999999999998</v>
      </c>
      <c r="S136" s="193" t="s">
        <v>87</v>
      </c>
      <c r="T136" s="192">
        <f t="shared" si="138"/>
        <v>2.4400000000000008</v>
      </c>
      <c r="U136" s="194">
        <f t="shared" si="132"/>
        <v>62.439999999999948</v>
      </c>
      <c r="V136" s="211">
        <f>IF(H135="AFIII",VLOOKUP(D136,Sheet1!$A$4:$H$18,5,FALSE),IF(H135="UBIII",VLOOKUP(D136,Sheet1!$A$4:$H$18,8,FALSE),IF(H135="",VLOOKUP(D136,Sheet1!$A$4:$H$18,2,FALSE),"0")))</f>
        <v>884</v>
      </c>
      <c r="W136" s="211">
        <f t="shared" si="140"/>
        <v>7033</v>
      </c>
      <c r="X136" s="212">
        <f t="shared" si="133"/>
        <v>10475</v>
      </c>
      <c r="Y136" s="195" t="str">
        <f t="shared" si="141"/>
        <v>SUCCESS</v>
      </c>
      <c r="Z136" s="195" t="str">
        <f t="shared" si="142"/>
        <v>SUCCESS</v>
      </c>
      <c r="AA136" s="185">
        <f t="shared" si="98"/>
        <v>154.95662578522274</v>
      </c>
    </row>
    <row r="137" spans="1:27">
      <c r="A137" s="112">
        <f>ROUNDDOWN(IF(N136-G137&gt;0,(IF(H136="AFIII",VLOOKUP(D137,Sheet1!$K$4:$S$19,5,FALSE),IF(H136="UBIII",VLOOKUP(D137,Sheet1!$K$4:$S$19,8,FALSE),VLOOKUP(D137,Sheet1!$K$4:$S$19,2,FALSE)))*1.2),IF(H136="AFIII",VLOOKUP(D137,Sheet1!$K$4:$S$19,5,FALSE),IF(H136="UBIII",VLOOKUP(D137,Sheet1!$K$4:$S$19,8,FALSE),VLOOKUP(D137,Sheet1!$K$4:$S$19,2,FALSE)))),0)</f>
        <v>168</v>
      </c>
      <c r="B137" s="113">
        <f t="shared" si="139"/>
        <v>51970</v>
      </c>
      <c r="C137" s="118">
        <f t="shared" si="129"/>
        <v>336.33000000000021</v>
      </c>
      <c r="D137" s="181" t="s">
        <v>3</v>
      </c>
      <c r="E137" s="182">
        <f>IF(H136="AFIII",VLOOKUP($D137,Sheet1!$A$34:$K$48,5,FALSE),IF(H136="UBIII",VLOOKUP($D137,Sheet1!$A$34:$K$48,8,FALSE),VLOOKUP($D137,Sheet1!$A$34:$K$48,2,FALSE)))</f>
        <v>1.67</v>
      </c>
      <c r="F137" s="182">
        <f>ROUNDDOWN((IF(H136="AFIII",VLOOKUP($D137,Sheet1!$A$34:$K$48,5,FALSE),IF(H136="UBIII",VLOOKUP($D137,Sheet1!$A$34:$K$48,8,FALSE),VLOOKUP($D137,Sheet1!$A$34:$K$48,2,FALSE))))*0.85,2)</f>
        <v>1.41</v>
      </c>
      <c r="G137" s="182">
        <f t="shared" si="135"/>
        <v>2.0299999999999998</v>
      </c>
      <c r="H137" s="183" t="s">
        <v>84</v>
      </c>
      <c r="I137" s="182">
        <v>10</v>
      </c>
      <c r="K137" s="182">
        <f>K136-G137</f>
        <v>17.97</v>
      </c>
      <c r="L137" s="182">
        <f t="shared" si="127"/>
        <v>14.19</v>
      </c>
      <c r="O137" s="182">
        <f t="shared" si="104"/>
        <v>63.259999999999849</v>
      </c>
      <c r="Q137" s="182">
        <f t="shared" si="143"/>
        <v>16.54</v>
      </c>
      <c r="R137" s="182">
        <f t="shared" si="130"/>
        <v>19.909999999999997</v>
      </c>
      <c r="S137" s="183" t="s">
        <v>87</v>
      </c>
      <c r="T137" s="182">
        <f t="shared" si="138"/>
        <v>0.41000000000000103</v>
      </c>
      <c r="U137" s="184">
        <f t="shared" si="132"/>
        <v>60.409999999999947</v>
      </c>
      <c r="V137" s="201">
        <f>IF(H136="AFIII",VLOOKUP(D137,Sheet1!$A$4:$H$18,5,FALSE),IF(H136="UBIII",VLOOKUP(D137,Sheet1!$A$4:$H$18,8,FALSE),IF(H136="",VLOOKUP(D137,Sheet1!$A$4:$H$18,2,FALSE),"0")))</f>
        <v>442</v>
      </c>
      <c r="W137" s="201">
        <f t="shared" si="140"/>
        <v>7033</v>
      </c>
      <c r="X137" s="208">
        <f t="shared" si="133"/>
        <v>10917</v>
      </c>
      <c r="Y137" s="171" t="str">
        <f t="shared" si="141"/>
        <v>SUCCESS</v>
      </c>
      <c r="Z137" s="171" t="str">
        <f t="shared" si="142"/>
        <v>SUCCESS</v>
      </c>
      <c r="AA137" s="185">
        <f t="shared" si="98"/>
        <v>154.52085749115443</v>
      </c>
    </row>
    <row r="138" spans="1:27">
      <c r="A138" s="112">
        <f>ROUNDDOWN(IF(N137-G138&gt;0,(IF(H137="AFIII",VLOOKUP(D138,Sheet1!$K$4:$S$19,5,FALSE),IF(H137="UBIII",VLOOKUP(D138,Sheet1!$K$4:$S$19,8,FALSE),VLOOKUP(D138,Sheet1!$K$4:$S$19,2,FALSE)))*1.2),IF(H137="AFIII",VLOOKUP(D138,Sheet1!$K$4:$S$19,5,FALSE),IF(H137="UBIII",VLOOKUP(D138,Sheet1!$K$4:$S$19,8,FALSE),VLOOKUP(D138,Sheet1!$K$4:$S$19,2,FALSE)))),0)</f>
        <v>504</v>
      </c>
      <c r="B138" s="113">
        <f t="shared" si="139"/>
        <v>52474</v>
      </c>
      <c r="C138" s="118">
        <f t="shared" si="129"/>
        <v>338.76000000000022</v>
      </c>
      <c r="D138" s="181" t="s">
        <v>5</v>
      </c>
      <c r="E138" s="182">
        <f>IF(H137="AFIII",VLOOKUP($D138,Sheet1!$A$34:$K$48,5,FALSE),IF(H137="UBIII",VLOOKUP($D138,Sheet1!$A$34:$K$48,8,FALSE),VLOOKUP($D138,Sheet1!$A$34:$K$48,2,FALSE)))</f>
        <v>2.86</v>
      </c>
      <c r="F138" s="182">
        <f>ROUNDDOWN((IF(H137="AFIII",VLOOKUP($D138,Sheet1!$A$34:$K$48,5,FALSE),IF(H137="UBIII",VLOOKUP($D138,Sheet1!$A$34:$K$48,8,FALSE),VLOOKUP($D138,Sheet1!$A$34:$K$48,2,FALSE))))*0.85,2)</f>
        <v>2.4300000000000002</v>
      </c>
      <c r="G138" s="182">
        <f t="shared" si="135"/>
        <v>2.4300000000000002</v>
      </c>
      <c r="H138" s="183" t="s">
        <v>84</v>
      </c>
      <c r="I138" s="182">
        <f>I137-G138</f>
        <v>7.57</v>
      </c>
      <c r="K138" s="182">
        <f t="shared" ref="K138:K144" si="144">K137-G138</f>
        <v>15.54</v>
      </c>
      <c r="L138" s="182">
        <f t="shared" si="127"/>
        <v>11.76</v>
      </c>
      <c r="O138" s="182">
        <f t="shared" si="104"/>
        <v>60.829999999999849</v>
      </c>
      <c r="Q138" s="182">
        <f t="shared" si="143"/>
        <v>14.11</v>
      </c>
      <c r="R138" s="182">
        <f t="shared" si="130"/>
        <v>17.479999999999997</v>
      </c>
      <c r="T138" s="182">
        <f t="shared" si="138"/>
        <v>-2.0199999999999991</v>
      </c>
      <c r="U138" s="184">
        <f t="shared" si="132"/>
        <v>57.979999999999947</v>
      </c>
      <c r="V138" s="201">
        <f>IF(H137="AFIII",VLOOKUP(D138,Sheet1!$A$4:$H$18,5,FALSE),IF(H137="UBIII",VLOOKUP(D138,Sheet1!$A$4:$H$18,8,FALSE),IF(H137="",VLOOKUP(D138,Sheet1!$A$4:$H$18,2,FALSE),"0")))</f>
        <v>1768</v>
      </c>
      <c r="W138" s="201">
        <f t="shared" si="140"/>
        <v>0</v>
      </c>
      <c r="X138" s="208">
        <f t="shared" si="133"/>
        <v>9149</v>
      </c>
      <c r="Y138" s="171" t="str">
        <f t="shared" si="141"/>
        <v>SUCCESS</v>
      </c>
      <c r="Z138" s="171" t="str">
        <f t="shared" si="142"/>
        <v>SUCCESS</v>
      </c>
      <c r="AA138" s="185">
        <f t="shared" si="98"/>
        <v>154.90022434762062</v>
      </c>
    </row>
    <row r="139" spans="1:27">
      <c r="A139" s="112">
        <f>ROUNDDOWN(IF(N138-G139&gt;0,(IF(H138="AFIII",VLOOKUP(D139,Sheet1!$K$4:$S$19,5,FALSE),IF(H138="UBIII",VLOOKUP(D139,Sheet1!$K$4:$S$19,8,FALSE),VLOOKUP(D139,Sheet1!$K$4:$S$19,2,FALSE)))*1.2),IF(H138="AFIII",VLOOKUP(D139,Sheet1!$K$4:$S$19,5,FALSE),IF(H138="UBIII",VLOOKUP(D139,Sheet1!$K$4:$S$19,8,FALSE),VLOOKUP(D139,Sheet1!$K$4:$S$19,2,FALSE)))),0)</f>
        <v>504</v>
      </c>
      <c r="B139" s="113">
        <f t="shared" si="139"/>
        <v>52978</v>
      </c>
      <c r="C139" s="118">
        <f t="shared" si="129"/>
        <v>341.62000000000023</v>
      </c>
      <c r="D139" s="181" t="s">
        <v>5</v>
      </c>
      <c r="E139" s="182">
        <f>IF(H138="AFIII",VLOOKUP($D139,Sheet1!$A$34:$K$48,5,FALSE),IF(H138="UBIII",VLOOKUP($D139,Sheet1!$A$34:$K$48,8,FALSE),VLOOKUP($D139,Sheet1!$A$34:$K$48,2,FALSE)))</f>
        <v>2.86</v>
      </c>
      <c r="F139" s="182">
        <f>ROUNDDOWN((IF(H138="AFIII",VLOOKUP($D139,Sheet1!$A$34:$K$48,5,FALSE),IF(H138="UBIII",VLOOKUP($D139,Sheet1!$A$34:$K$48,8,FALSE),VLOOKUP($D139,Sheet1!$A$34:$K$48,2,FALSE))))*0.85,2)</f>
        <v>2.4300000000000002</v>
      </c>
      <c r="G139" s="182">
        <f t="shared" si="135"/>
        <v>2.86</v>
      </c>
      <c r="H139" s="183" t="s">
        <v>84</v>
      </c>
      <c r="I139" s="182">
        <f t="shared" ref="I139" si="145">I138-G139</f>
        <v>4.7100000000000009</v>
      </c>
      <c r="K139" s="182">
        <f t="shared" si="144"/>
        <v>12.68</v>
      </c>
      <c r="L139" s="182">
        <f t="shared" si="127"/>
        <v>8.9</v>
      </c>
      <c r="O139" s="182">
        <f t="shared" si="104"/>
        <v>57.96999999999985</v>
      </c>
      <c r="Q139" s="182">
        <f t="shared" si="143"/>
        <v>11.25</v>
      </c>
      <c r="R139" s="182">
        <f t="shared" si="130"/>
        <v>14.619999999999997</v>
      </c>
      <c r="U139" s="184">
        <f t="shared" si="132"/>
        <v>55.119999999999948</v>
      </c>
      <c r="V139" s="201">
        <f>IF(H138="AFIII",VLOOKUP(D139,Sheet1!$A$4:$H$18,5,FALSE),IF(H138="UBIII",VLOOKUP(D139,Sheet1!$A$4:$H$18,8,FALSE),IF(H138="",VLOOKUP(D139,Sheet1!$A$4:$H$18,2,FALSE),"0")))</f>
        <v>1768</v>
      </c>
      <c r="W139" s="201">
        <f t="shared" si="140"/>
        <v>0</v>
      </c>
      <c r="X139" s="208">
        <f t="shared" si="133"/>
        <v>7381</v>
      </c>
      <c r="Y139" s="171" t="str">
        <f t="shared" si="141"/>
        <v>SUCCESS</v>
      </c>
      <c r="Z139" s="171" t="str">
        <f t="shared" si="142"/>
        <v>SUCCESS</v>
      </c>
      <c r="AA139" s="185">
        <f t="shared" si="98"/>
        <v>155.07874246238501</v>
      </c>
    </row>
    <row r="140" spans="1:27">
      <c r="A140" s="112">
        <f>ROUNDDOWN(IF(N139-G140&gt;0,(IF(H139="AFIII",VLOOKUP(D140,Sheet1!$K$4:$S$19,5,FALSE),IF(H139="UBIII",VLOOKUP(D140,Sheet1!$K$4:$S$19,8,FALSE),VLOOKUP(D140,Sheet1!$K$4:$S$19,2,FALSE)))*1.2),IF(H139="AFIII",VLOOKUP(D140,Sheet1!$K$4:$S$19,5,FALSE),IF(H139="UBIII",VLOOKUP(D140,Sheet1!$K$4:$S$19,8,FALSE),VLOOKUP(D140,Sheet1!$K$4:$S$19,2,FALSE)))),0)</f>
        <v>324</v>
      </c>
      <c r="B140" s="113">
        <f t="shared" si="139"/>
        <v>53302</v>
      </c>
      <c r="C140" s="118">
        <f t="shared" si="129"/>
        <v>344.01000000000022</v>
      </c>
      <c r="D140" s="181" t="s">
        <v>1</v>
      </c>
      <c r="E140" s="182">
        <f>IF(H139="AFIII",VLOOKUP($D140,Sheet1!$A$34:$K$48,5,FALSE),IF(H139="UBIII",VLOOKUP($D140,Sheet1!$A$34:$K$48,8,FALSE),VLOOKUP($D140,Sheet1!$A$34:$K$48,2,FALSE)))</f>
        <v>2.39</v>
      </c>
      <c r="F140" s="182">
        <f>ROUNDDOWN((IF(H139="AFIII",VLOOKUP($D140,Sheet1!$A$34:$K$48,5,FALSE),IF(H139="UBIII",VLOOKUP($D140,Sheet1!$A$34:$K$48,8,FALSE),VLOOKUP($D140,Sheet1!$A$34:$K$48,2,FALSE))))*0.85,2)</f>
        <v>2.0299999999999998</v>
      </c>
      <c r="G140" s="182">
        <f t="shared" si="135"/>
        <v>2.39</v>
      </c>
      <c r="H140" s="183" t="s">
        <v>84</v>
      </c>
      <c r="I140" s="182">
        <v>10</v>
      </c>
      <c r="K140" s="182">
        <f t="shared" si="144"/>
        <v>10.29</v>
      </c>
      <c r="L140" s="182">
        <f t="shared" si="127"/>
        <v>6.51</v>
      </c>
      <c r="O140" s="182">
        <f t="shared" si="104"/>
        <v>55.579999999999849</v>
      </c>
      <c r="Q140" s="182">
        <f t="shared" si="143"/>
        <v>8.86</v>
      </c>
      <c r="R140" s="182">
        <f>R139-G140</f>
        <v>12.229999999999997</v>
      </c>
      <c r="U140" s="184">
        <f t="shared" si="132"/>
        <v>52.729999999999947</v>
      </c>
      <c r="V140" s="201">
        <f>IF(H139="AFIII",VLOOKUP(D140,Sheet1!$A$4:$H$18,5,FALSE),IF(H139="UBIII",VLOOKUP(D140,Sheet1!$A$4:$H$18,8,FALSE),IF(H139="",VLOOKUP(D140,Sheet1!$A$4:$H$18,2,FALSE),"0")))</f>
        <v>2120</v>
      </c>
      <c r="W140" s="201">
        <f t="shared" si="140"/>
        <v>0</v>
      </c>
      <c r="X140" s="208">
        <f t="shared" si="133"/>
        <v>5261</v>
      </c>
      <c r="Y140" s="171" t="str">
        <f t="shared" si="141"/>
        <v>SUCCESS</v>
      </c>
      <c r="Z140" s="171" t="str">
        <f t="shared" si="142"/>
        <v>SUCCESS</v>
      </c>
      <c r="AA140" s="185">
        <f t="shared" si="98"/>
        <v>154.94317025667848</v>
      </c>
    </row>
    <row r="141" spans="1:27">
      <c r="A141" s="112">
        <f>ROUNDDOWN(IF(N140-G141&gt;0,(IF(H140="AFIII",VLOOKUP(D141,Sheet1!$K$4:$S$19,5,FALSE),IF(H140="UBIII",VLOOKUP(D141,Sheet1!$K$4:$S$19,8,FALSE),VLOOKUP(D141,Sheet1!$K$4:$S$19,2,FALSE)))*1.2),IF(H140="AFIII",VLOOKUP(D141,Sheet1!$K$4:$S$19,5,FALSE),IF(H140="UBIII",VLOOKUP(D141,Sheet1!$K$4:$S$19,8,FALSE),VLOOKUP(D141,Sheet1!$K$4:$S$19,2,FALSE)))),0)</f>
        <v>504</v>
      </c>
      <c r="B141" s="113">
        <f t="shared" si="139"/>
        <v>53806</v>
      </c>
      <c r="C141" s="118">
        <f t="shared" si="129"/>
        <v>346.87000000000023</v>
      </c>
      <c r="D141" s="181" t="s">
        <v>6</v>
      </c>
      <c r="E141" s="182">
        <f>IF(H140="AFIII",VLOOKUP($D141,Sheet1!$A$34:$K$48,5,FALSE),IF(H140="UBIII",VLOOKUP($D141,Sheet1!$A$34:$K$48,8,FALSE),VLOOKUP($D141,Sheet1!$A$34:$K$48,2,FALSE)))</f>
        <v>2.86</v>
      </c>
      <c r="F141" s="182">
        <f>ROUNDDOWN((IF(H140="AFIII",VLOOKUP($D141,Sheet1!$A$34:$K$48,5,FALSE),IF(H140="UBIII",VLOOKUP($D141,Sheet1!$A$34:$K$48,8,FALSE),VLOOKUP($D141,Sheet1!$A$34:$K$48,2,FALSE))))*0.85,2)</f>
        <v>2.4300000000000002</v>
      </c>
      <c r="G141" s="182">
        <f t="shared" si="135"/>
        <v>2.86</v>
      </c>
      <c r="H141" s="183" t="s">
        <v>84</v>
      </c>
      <c r="I141" s="182">
        <f>I140-G141</f>
        <v>7.1400000000000006</v>
      </c>
      <c r="K141" s="182">
        <f t="shared" si="144"/>
        <v>7.43</v>
      </c>
      <c r="L141" s="182">
        <f t="shared" si="127"/>
        <v>3.65</v>
      </c>
      <c r="O141" s="182">
        <f t="shared" si="104"/>
        <v>52.71999999999985</v>
      </c>
      <c r="Q141" s="182">
        <f t="shared" si="143"/>
        <v>6</v>
      </c>
      <c r="R141" s="182">
        <f t="shared" ref="R141:R145" si="146">R140-G141</f>
        <v>9.3699999999999974</v>
      </c>
      <c r="U141" s="184">
        <f t="shared" si="132"/>
        <v>49.869999999999948</v>
      </c>
      <c r="V141" s="201">
        <f>IF(H140="AFIII",VLOOKUP(D141,Sheet1!$A$4:$H$18,5,FALSE),IF(H140="UBIII",VLOOKUP(D141,Sheet1!$A$4:$H$18,8,FALSE),IF(H140="",VLOOKUP(D141,Sheet1!$A$4:$H$18,2,FALSE),"0")))</f>
        <v>1768</v>
      </c>
      <c r="W141" s="201">
        <f t="shared" si="140"/>
        <v>0</v>
      </c>
      <c r="X141" s="208">
        <f t="shared" si="133"/>
        <v>3493</v>
      </c>
      <c r="Y141" s="171" t="str">
        <f t="shared" si="141"/>
        <v>SUCCESS</v>
      </c>
      <c r="Z141" s="171" t="str">
        <f t="shared" si="142"/>
        <v>SUCCESS</v>
      </c>
      <c r="AA141" s="185">
        <f t="shared" si="98"/>
        <v>155.11863234064626</v>
      </c>
    </row>
    <row r="142" spans="1:27">
      <c r="A142" s="112">
        <f>ROUNDDOWN(IF(N141-G142&gt;0,(IF(H141="AFIII",VLOOKUP(D142,Sheet1!$K$4:$S$19,5,FALSE),IF(H141="UBIII",VLOOKUP(D142,Sheet1!$K$4:$S$19,8,FALSE),VLOOKUP(D142,Sheet1!$K$4:$S$19,2,FALSE)))*1.2),IF(H141="AFIII",VLOOKUP(D142,Sheet1!$K$4:$S$19,5,FALSE),IF(H141="UBIII",VLOOKUP(D142,Sheet1!$K$4:$S$19,8,FALSE),VLOOKUP(D142,Sheet1!$K$4:$S$19,2,FALSE)))),0)</f>
        <v>504</v>
      </c>
      <c r="B142" s="113">
        <f t="shared" si="139"/>
        <v>54310</v>
      </c>
      <c r="C142" s="118">
        <f t="shared" si="129"/>
        <v>349.73000000000025</v>
      </c>
      <c r="D142" s="181" t="s">
        <v>6</v>
      </c>
      <c r="E142" s="182">
        <f>IF(H141="AFIII",VLOOKUP($D142,Sheet1!$A$34:$K$48,5,FALSE),IF(H141="UBIII",VLOOKUP($D142,Sheet1!$A$34:$K$48,8,FALSE),VLOOKUP($D142,Sheet1!$A$34:$K$48,2,FALSE)))</f>
        <v>2.86</v>
      </c>
      <c r="F142" s="182">
        <f>ROUNDDOWN((IF(H141="AFIII",VLOOKUP($D142,Sheet1!$A$34:$K$48,5,FALSE),IF(H141="UBIII",VLOOKUP($D142,Sheet1!$A$34:$K$48,8,FALSE),VLOOKUP($D142,Sheet1!$A$34:$K$48,2,FALSE))))*0.85,2)</f>
        <v>2.4300000000000002</v>
      </c>
      <c r="G142" s="182">
        <f t="shared" si="135"/>
        <v>2.86</v>
      </c>
      <c r="H142" s="183" t="s">
        <v>84</v>
      </c>
      <c r="I142" s="182">
        <f>I141-G142</f>
        <v>4.2800000000000011</v>
      </c>
      <c r="K142" s="182">
        <f t="shared" si="144"/>
        <v>4.57</v>
      </c>
      <c r="L142" s="182">
        <f t="shared" si="127"/>
        <v>0.79</v>
      </c>
      <c r="O142" s="182">
        <f t="shared" si="104"/>
        <v>49.85999999999985</v>
      </c>
      <c r="Q142" s="182">
        <f t="shared" si="143"/>
        <v>3.14</v>
      </c>
      <c r="R142" s="182">
        <f t="shared" si="146"/>
        <v>6.509999999999998</v>
      </c>
      <c r="U142" s="184">
        <f t="shared" si="132"/>
        <v>47.009999999999948</v>
      </c>
      <c r="V142" s="201">
        <f>IF(H141="AFIII",VLOOKUP(D142,Sheet1!$A$4:$H$18,5,FALSE),IF(H141="UBIII",VLOOKUP(D142,Sheet1!$A$4:$H$18,8,FALSE),IF(H141="",VLOOKUP(D142,Sheet1!$A$4:$H$18,2,FALSE),"0")))</f>
        <v>1768</v>
      </c>
      <c r="W142" s="201">
        <f t="shared" si="140"/>
        <v>0</v>
      </c>
      <c r="X142" s="208">
        <f t="shared" si="133"/>
        <v>1725</v>
      </c>
      <c r="Y142" s="171" t="str">
        <f t="shared" si="141"/>
        <v>SUCCESS</v>
      </c>
      <c r="Z142" s="171" t="str">
        <f t="shared" si="142"/>
        <v>SUCCESS</v>
      </c>
      <c r="AA142" s="185">
        <f t="shared" si="98"/>
        <v>155.29122465902256</v>
      </c>
    </row>
    <row r="143" spans="1:27">
      <c r="A143" s="112">
        <f>ROUNDDOWN(IF(N142-G143&gt;0,(IF(H142="AFIII",VLOOKUP(D143,Sheet1!$K$4:$S$19,5,FALSE),IF(H142="UBIII",VLOOKUP(D143,Sheet1!$K$4:$S$19,8,FALSE),VLOOKUP(D143,Sheet1!$K$4:$S$19,2,FALSE)))*1.2),IF(H142="AFIII",VLOOKUP(D143,Sheet1!$K$4:$S$19,5,FALSE),IF(H142="UBIII",VLOOKUP(D143,Sheet1!$K$4:$S$19,8,FALSE),VLOOKUP(D143,Sheet1!$K$4:$S$19,2,FALSE)))),0)</f>
        <v>168</v>
      </c>
      <c r="B143" s="113">
        <f t="shared" si="139"/>
        <v>54478</v>
      </c>
      <c r="C143" s="118">
        <f t="shared" si="129"/>
        <v>352.12000000000023</v>
      </c>
      <c r="D143" s="181" t="s">
        <v>12</v>
      </c>
      <c r="E143" s="182">
        <f>IF(H142="AFIII",VLOOKUP($D143,Sheet1!$A$34:$K$48,5,FALSE),IF(H142="UBIII",VLOOKUP($D143,Sheet1!$A$34:$K$48,8,FALSE),VLOOKUP($D143,Sheet1!$A$34:$K$48,2,FALSE)))</f>
        <v>1.67</v>
      </c>
      <c r="F143" s="182">
        <f>ROUNDDOWN((IF(H142="AFIII",VLOOKUP($D143,Sheet1!$A$34:$K$48,5,FALSE),IF(H142="UBIII",VLOOKUP($D143,Sheet1!$A$34:$K$48,8,FALSE),VLOOKUP($D143,Sheet1!$A$34:$K$48,2,FALSE))))*0.85,2)</f>
        <v>1.41</v>
      </c>
      <c r="G143" s="182">
        <f t="shared" si="135"/>
        <v>2.39</v>
      </c>
      <c r="H143" s="183" t="s">
        <v>122</v>
      </c>
      <c r="I143" s="182">
        <v>10</v>
      </c>
      <c r="K143" s="182">
        <f t="shared" si="144"/>
        <v>2.1800000000000002</v>
      </c>
      <c r="L143" s="182">
        <f t="shared" si="127"/>
        <v>-1.6</v>
      </c>
      <c r="O143" s="182">
        <f t="shared" si="104"/>
        <v>47.46999999999985</v>
      </c>
      <c r="Q143" s="182">
        <f t="shared" si="143"/>
        <v>0.75</v>
      </c>
      <c r="R143" s="182">
        <f t="shared" si="146"/>
        <v>4.1199999999999974</v>
      </c>
      <c r="U143" s="184">
        <f t="shared" si="132"/>
        <v>44.619999999999948</v>
      </c>
      <c r="V143" s="201">
        <f>IF(H142="AFIII",VLOOKUP(D143,Sheet1!$A$4:$H$18,5,FALSE),IF(H142="UBIII",VLOOKUP(D143,Sheet1!$A$4:$H$18,8,FALSE),IF(H142="",VLOOKUP(D143,Sheet1!$A$4:$H$18,2,FALSE),"0")))</f>
        <v>265</v>
      </c>
      <c r="W143" s="201">
        <f t="shared" si="140"/>
        <v>0</v>
      </c>
      <c r="X143" s="208">
        <f t="shared" si="133"/>
        <v>1460</v>
      </c>
      <c r="Y143" s="171" t="str">
        <f t="shared" si="141"/>
        <v>SUCCESS</v>
      </c>
      <c r="Z143" s="171" t="str">
        <f t="shared" si="142"/>
        <v>SUCCESS</v>
      </c>
      <c r="AA143" s="185">
        <f t="shared" si="98"/>
        <v>154.71430194251948</v>
      </c>
    </row>
    <row r="144" spans="1:27">
      <c r="A144" s="122">
        <f>ROUNDDOWN(IF(N143-G144&gt;0,(IF(H143="AFIII",VLOOKUP(D144,Sheet1!$K$4:$S$19,5,FALSE),IF(H143="UBIII",VLOOKUP(D144,Sheet1!$K$4:$S$19,8,FALSE),VLOOKUP(D144,Sheet1!$K$4:$S$19,2,FALSE)))*1.2),IF(H143="AFIII",VLOOKUP(D144,Sheet1!$K$4:$S$19,5,FALSE),IF(H143="UBIII",VLOOKUP(D144,Sheet1!$K$4:$S$19,8,FALSE),VLOOKUP(D144,Sheet1!$K$4:$S$19,2,FALSE)))),0)</f>
        <v>295</v>
      </c>
      <c r="B144" s="123">
        <f t="shared" si="139"/>
        <v>54773</v>
      </c>
      <c r="C144" s="124">
        <f t="shared" si="129"/>
        <v>354.98000000000025</v>
      </c>
      <c r="D144" s="186" t="s">
        <v>19</v>
      </c>
      <c r="E144" s="187">
        <f>IF(H143="AFIII",VLOOKUP($D144,Sheet1!$A$34:$K$48,5,FALSE),IF(H143="UBIII",VLOOKUP($D144,Sheet1!$A$34:$K$48,8,FALSE),VLOOKUP($D144,Sheet1!$A$34:$K$48,2,FALSE)))</f>
        <v>2.86</v>
      </c>
      <c r="F144" s="187">
        <f>ROUNDDOWN((IF(H143="AFIII",VLOOKUP($D144,Sheet1!$A$34:$K$48,5,FALSE),IF(H143="UBIII",VLOOKUP($D144,Sheet1!$A$34:$K$48,8,FALSE),VLOOKUP($D144,Sheet1!$A$34:$K$48,2,FALSE))))*0.85,2)</f>
        <v>2.4300000000000002</v>
      </c>
      <c r="G144" s="187">
        <f t="shared" si="135"/>
        <v>2.86</v>
      </c>
      <c r="H144" s="188" t="s">
        <v>122</v>
      </c>
      <c r="I144" s="187">
        <f>I143-G144</f>
        <v>7.1400000000000006</v>
      </c>
      <c r="J144" s="188"/>
      <c r="K144" s="187">
        <f t="shared" si="144"/>
        <v>-0.67999999999999972</v>
      </c>
      <c r="L144" s="187">
        <f t="shared" si="127"/>
        <v>-4.46</v>
      </c>
      <c r="M144" s="188"/>
      <c r="N144" s="187"/>
      <c r="O144" s="187">
        <f t="shared" si="104"/>
        <v>44.60999999999985</v>
      </c>
      <c r="P144" s="188"/>
      <c r="Q144" s="187"/>
      <c r="R144" s="187">
        <f t="shared" si="146"/>
        <v>1.2599999999999976</v>
      </c>
      <c r="S144" s="188"/>
      <c r="T144" s="187"/>
      <c r="U144" s="189">
        <f t="shared" si="132"/>
        <v>41.759999999999948</v>
      </c>
      <c r="V144" s="209">
        <f>IF(H143="AFIII",VLOOKUP(D144,Sheet1!$A$4:$H$18,5,FALSE),IF(H143="UBIII",VLOOKUP(D144,Sheet1!$A$4:$H$18,8,FALSE),IF(H143="",VLOOKUP(D144,Sheet1!$A$4:$H$18,2,FALSE),"0")))</f>
        <v>1060</v>
      </c>
      <c r="W144" s="209">
        <f t="shared" si="140"/>
        <v>7033</v>
      </c>
      <c r="X144" s="210">
        <f t="shared" si="133"/>
        <v>7433</v>
      </c>
      <c r="Y144" s="190" t="str">
        <f t="shared" si="141"/>
        <v>SUCCESS</v>
      </c>
      <c r="Z144" s="190" t="str">
        <f t="shared" si="142"/>
        <v>ERROR</v>
      </c>
      <c r="AA144" s="185">
        <f t="shared" si="98"/>
        <v>154.29883373711183</v>
      </c>
    </row>
    <row r="145" spans="1:27">
      <c r="A145" s="112">
        <f>ROUNDDOWN(IF(N144-G145&gt;0,(IF(H144="AFIII",VLOOKUP(D145,Sheet1!$K$4:$S$19,5,FALSE),IF(H144="UBIII",VLOOKUP(D145,Sheet1!$K$4:$S$19,8,FALSE),VLOOKUP(D145,Sheet1!$K$4:$S$19,2,FALSE)))*1.2),IF(H144="AFIII",VLOOKUP(D145,Sheet1!$K$4:$S$19,5,FALSE),IF(H144="UBIII",VLOOKUP(D145,Sheet1!$K$4:$S$19,8,FALSE),VLOOKUP(D145,Sheet1!$K$4:$S$19,2,FALSE)))),0)</f>
        <v>168</v>
      </c>
      <c r="B145" s="113">
        <f t="shared" si="139"/>
        <v>54941</v>
      </c>
      <c r="C145" s="118">
        <f t="shared" si="129"/>
        <v>357.37000000000023</v>
      </c>
      <c r="D145" s="181" t="s">
        <v>4</v>
      </c>
      <c r="E145" s="182">
        <f>IF(H144="AFIII",VLOOKUP($D145,Sheet1!$A$34:$K$48,5,FALSE),IF(H144="UBIII",VLOOKUP($D145,Sheet1!$A$34:$K$48,8,FALSE),VLOOKUP($D145,Sheet1!$A$34:$K$48,2,FALSE)))</f>
        <v>1.67</v>
      </c>
      <c r="F145" s="182">
        <f>ROUNDDOWN((IF(H144="AFIII",VLOOKUP($D145,Sheet1!$A$34:$K$48,5,FALSE),IF(H144="UBIII",VLOOKUP($D145,Sheet1!$A$34:$K$48,8,FALSE),VLOOKUP($D145,Sheet1!$A$34:$K$48,2,FALSE))))*0.85,2)</f>
        <v>1.41</v>
      </c>
      <c r="G145" s="182">
        <f t="shared" si="135"/>
        <v>2.39</v>
      </c>
      <c r="H145" s="183" t="s">
        <v>84</v>
      </c>
      <c r="I145" s="182">
        <v>10</v>
      </c>
      <c r="J145" s="183" t="s">
        <v>105</v>
      </c>
      <c r="K145" s="182">
        <v>30</v>
      </c>
      <c r="L145" s="182">
        <v>60</v>
      </c>
      <c r="O145" s="182">
        <f t="shared" si="104"/>
        <v>42.21999999999985</v>
      </c>
      <c r="R145" s="182">
        <f t="shared" si="146"/>
        <v>-1.1300000000000026</v>
      </c>
      <c r="U145" s="184">
        <f t="shared" si="132"/>
        <v>39.369999999999948</v>
      </c>
      <c r="V145" s="201">
        <f>IF(H144="AFIII",VLOOKUP(D145,Sheet1!$A$4:$H$18,5,FALSE),IF(H144="UBIII",VLOOKUP(D145,Sheet1!$A$4:$H$18,8,FALSE),IF(H144="",VLOOKUP(D145,Sheet1!$A$4:$H$18,2,FALSE),"0")))</f>
        <v>442</v>
      </c>
      <c r="W145" s="201">
        <f t="shared" si="140"/>
        <v>7033</v>
      </c>
      <c r="X145" s="208">
        <f t="shared" si="133"/>
        <v>10917</v>
      </c>
      <c r="Y145" s="171" t="str">
        <f t="shared" si="141"/>
        <v>SUCCESS</v>
      </c>
      <c r="Z145" s="171" t="str">
        <f t="shared" si="142"/>
        <v>ERROR</v>
      </c>
      <c r="AA145" s="185">
        <f t="shared" si="98"/>
        <v>153.73702325321085</v>
      </c>
    </row>
    <row r="146" spans="1:27">
      <c r="A146" s="112">
        <f>ROUNDDOWN(IF(N145-G146&gt;0,(IF(H145="AFIII",VLOOKUP(D146,Sheet1!$K$4:$S$19,5,FALSE),IF(H145="UBIII",VLOOKUP(D146,Sheet1!$K$4:$S$19,8,FALSE),VLOOKUP(D146,Sheet1!$K$4:$S$19,2,FALSE)))*1.2),IF(H145="AFIII",VLOOKUP(D146,Sheet1!$K$4:$S$19,5,FALSE),IF(H145="UBIII",VLOOKUP(D146,Sheet1!$K$4:$S$19,8,FALSE),VLOOKUP(D146,Sheet1!$K$4:$S$19,2,FALSE)))),0)</f>
        <v>504</v>
      </c>
      <c r="B146" s="113">
        <f t="shared" si="139"/>
        <v>55445</v>
      </c>
      <c r="C146" s="118">
        <f t="shared" si="129"/>
        <v>360.23000000000025</v>
      </c>
      <c r="D146" s="181" t="s">
        <v>6</v>
      </c>
      <c r="E146" s="182">
        <f>IF(H145="AFIII",VLOOKUP($D146,Sheet1!$A$34:$K$48,5,FALSE),IF(H145="UBIII",VLOOKUP($D146,Sheet1!$A$34:$K$48,8,FALSE),VLOOKUP($D146,Sheet1!$A$34:$K$48,2,FALSE)))</f>
        <v>2.86</v>
      </c>
      <c r="F146" s="182">
        <f>ROUNDDOWN((IF(H145="AFIII",VLOOKUP($D146,Sheet1!$A$34:$K$48,5,FALSE),IF(H145="UBIII",VLOOKUP($D146,Sheet1!$A$34:$K$48,8,FALSE),VLOOKUP($D146,Sheet1!$A$34:$K$48,2,FALSE))))*0.85,2)</f>
        <v>2.4300000000000002</v>
      </c>
      <c r="G146" s="182">
        <f>IF(M145="迅速",IF(S145="黒魔紋",$F$1,$E$1),IF(S145="黒魔紋",IF(F146&lt;$F$1,$F$1,F146),IF(E146&lt;$E$1,$E$1,E146)))</f>
        <v>2.86</v>
      </c>
      <c r="H146" s="183" t="s">
        <v>84</v>
      </c>
      <c r="I146" s="182">
        <f>I145-G146</f>
        <v>7.1400000000000006</v>
      </c>
      <c r="K146" s="182">
        <f>K145-G146</f>
        <v>27.14</v>
      </c>
      <c r="L146" s="182">
        <f>L145-G146</f>
        <v>57.14</v>
      </c>
      <c r="N146" s="182">
        <v>20</v>
      </c>
      <c r="O146" s="182">
        <f t="shared" si="104"/>
        <v>39.35999999999985</v>
      </c>
      <c r="U146" s="184">
        <f t="shared" si="132"/>
        <v>36.509999999999948</v>
      </c>
      <c r="V146" s="201">
        <f>IF(H145="AFIII",VLOOKUP(D146,Sheet1!$A$4:$H$18,5,FALSE),IF(H145="UBIII",VLOOKUP(D146,Sheet1!$A$4:$H$18,8,FALSE),IF(H145="",VLOOKUP(D146,Sheet1!$A$4:$H$18,2,FALSE),"0")))</f>
        <v>1768</v>
      </c>
      <c r="W146" s="201">
        <f t="shared" si="140"/>
        <v>0</v>
      </c>
      <c r="X146" s="208">
        <f t="shared" si="133"/>
        <v>9149</v>
      </c>
      <c r="Y146" s="171" t="str">
        <f t="shared" si="141"/>
        <v>SUCCESS</v>
      </c>
      <c r="Z146" s="171" t="str">
        <f t="shared" si="142"/>
        <v>SUCCESS</v>
      </c>
      <c r="AA146" s="185">
        <f t="shared" ref="AA146:AA159" si="147">B146/C146</f>
        <v>153.9155539516419</v>
      </c>
    </row>
    <row r="147" spans="1:27">
      <c r="A147" s="112">
        <f>ROUNDDOWN(IF(N146-G147&gt;0,(IF(H146="AFIII",VLOOKUP(D147,Sheet1!$K$4:$S$19,5,FALSE),IF(H146="UBIII",VLOOKUP(D147,Sheet1!$K$4:$S$19,8,FALSE),VLOOKUP(D147,Sheet1!$K$4:$S$19,2,FALSE)))*1.2),IF(H146="AFIII",VLOOKUP(D147,Sheet1!$K$4:$S$19,5,FALSE),IF(H146="UBIII",VLOOKUP(D147,Sheet1!$K$4:$S$19,8,FALSE),VLOOKUP(D147,Sheet1!$K$4:$S$19,2,FALSE)))),0)</f>
        <v>604</v>
      </c>
      <c r="B147" s="113">
        <f t="shared" si="139"/>
        <v>56049</v>
      </c>
      <c r="C147" s="118">
        <f t="shared" si="129"/>
        <v>363.09000000000026</v>
      </c>
      <c r="D147" s="181" t="s">
        <v>6</v>
      </c>
      <c r="E147" s="182">
        <f>IF(H146="AFIII",VLOOKUP($D147,Sheet1!$A$34:$K$48,5,FALSE),IF(H146="UBIII",VLOOKUP($D147,Sheet1!$A$34:$K$48,8,FALSE),VLOOKUP($D147,Sheet1!$A$34:$K$48,2,FALSE)))</f>
        <v>2.86</v>
      </c>
      <c r="F147" s="182">
        <f>ROUNDDOWN((IF(H146="AFIII",VLOOKUP($D147,Sheet1!$A$34:$K$48,5,FALSE),IF(H146="UBIII",VLOOKUP($D147,Sheet1!$A$34:$K$48,8,FALSE),VLOOKUP($D147,Sheet1!$A$34:$K$48,2,FALSE))))*0.85,2)</f>
        <v>2.4300000000000002</v>
      </c>
      <c r="G147" s="182">
        <f t="shared" ref="G147:G159" si="148">IF(M146="迅速",IF(S146="黒魔紋",$F$1,$E$1),IF(S146="黒魔紋",IF(F147&lt;$F$1,$F$1,F147),IF(E147&lt;$E$1,$E$1,E147)))</f>
        <v>2.86</v>
      </c>
      <c r="H147" s="183" t="s">
        <v>84</v>
      </c>
      <c r="I147" s="182">
        <f t="shared" ref="I147" si="149">I146-G147</f>
        <v>4.2800000000000011</v>
      </c>
      <c r="K147" s="182">
        <f t="shared" ref="K147:K148" si="150">K146-G147</f>
        <v>24.28</v>
      </c>
      <c r="L147" s="182">
        <f t="shared" ref="L147:L148" si="151">L146-G147</f>
        <v>54.28</v>
      </c>
      <c r="N147" s="182">
        <f>N146-G147</f>
        <v>17.14</v>
      </c>
      <c r="O147" s="182">
        <f t="shared" si="104"/>
        <v>36.499999999999851</v>
      </c>
      <c r="P147" s="183" t="s">
        <v>131</v>
      </c>
      <c r="R147" s="182">
        <v>60</v>
      </c>
      <c r="U147" s="184">
        <f t="shared" si="132"/>
        <v>33.649999999999949</v>
      </c>
      <c r="V147" s="201">
        <f>IF(H146="AFIII",VLOOKUP(D147,Sheet1!$A$4:$H$18,5,FALSE),IF(H146="UBIII",VLOOKUP(D147,Sheet1!$A$4:$H$18,8,FALSE),IF(H146="",VLOOKUP(D147,Sheet1!$A$4:$H$18,2,FALSE),"0")))</f>
        <v>1768</v>
      </c>
      <c r="W147" s="201">
        <f t="shared" si="140"/>
        <v>0</v>
      </c>
      <c r="X147" s="208">
        <f t="shared" si="133"/>
        <v>7381</v>
      </c>
      <c r="Y147" s="171" t="str">
        <f t="shared" si="141"/>
        <v>SUCCESS</v>
      </c>
      <c r="Z147" s="171" t="str">
        <f t="shared" si="142"/>
        <v>SUCCESS</v>
      </c>
      <c r="AA147" s="185">
        <f t="shared" si="147"/>
        <v>154.36668594563321</v>
      </c>
    </row>
    <row r="148" spans="1:27">
      <c r="A148" s="112">
        <f>ROUNDDOWN(IF(N147-G148&gt;0,(IF(H147="AFIII",VLOOKUP(D148,Sheet1!$K$4:$S$19,5,FALSE),IF(H147="UBIII",VLOOKUP(D148,Sheet1!$K$4:$S$19,8,FALSE),VLOOKUP(D148,Sheet1!$K$4:$S$19,2,FALSE)))*1.2),IF(H147="AFIII",VLOOKUP(D148,Sheet1!$K$4:$S$19,5,FALSE),IF(H147="UBIII",VLOOKUP(D148,Sheet1!$K$4:$S$19,8,FALSE),VLOOKUP(D148,Sheet1!$K$4:$S$19,2,FALSE)))),0)</f>
        <v>388</v>
      </c>
      <c r="B148" s="113">
        <f t="shared" si="139"/>
        <v>56437</v>
      </c>
      <c r="C148" s="118">
        <f t="shared" si="129"/>
        <v>365.48000000000025</v>
      </c>
      <c r="D148" s="181" t="s">
        <v>1</v>
      </c>
      <c r="E148" s="182">
        <f>IF(H147="AFIII",VLOOKUP($D148,Sheet1!$A$34:$K$48,5,FALSE),IF(H147="UBIII",VLOOKUP($D148,Sheet1!$A$34:$K$48,8,FALSE),VLOOKUP($D148,Sheet1!$A$34:$K$48,2,FALSE)))</f>
        <v>2.39</v>
      </c>
      <c r="F148" s="182">
        <f>ROUNDDOWN((IF(H147="AFIII",VLOOKUP($D148,Sheet1!$A$34:$K$48,5,FALSE),IF(H147="UBIII",VLOOKUP($D148,Sheet1!$A$34:$K$48,8,FALSE),VLOOKUP($D148,Sheet1!$A$34:$K$48,2,FALSE))))*0.85,2)</f>
        <v>2.0299999999999998</v>
      </c>
      <c r="G148" s="182">
        <f t="shared" si="148"/>
        <v>2.39</v>
      </c>
      <c r="H148" s="183" t="s">
        <v>84</v>
      </c>
      <c r="I148" s="182">
        <v>10</v>
      </c>
      <c r="K148" s="182">
        <f t="shared" si="150"/>
        <v>21.89</v>
      </c>
      <c r="L148" s="182">
        <f t="shared" si="151"/>
        <v>51.89</v>
      </c>
      <c r="N148" s="182">
        <f t="shared" ref="N148" si="152">N147-G148</f>
        <v>14.75</v>
      </c>
      <c r="O148" s="182">
        <f t="shared" si="104"/>
        <v>34.10999999999985</v>
      </c>
      <c r="R148" s="182">
        <f t="shared" ref="R148:R150" si="153">R147-G148</f>
        <v>57.61</v>
      </c>
      <c r="U148" s="184">
        <f t="shared" si="132"/>
        <v>31.259999999999948</v>
      </c>
      <c r="V148" s="201">
        <f>IF(H147="AFIII",VLOOKUP(D148,Sheet1!$A$4:$H$18,5,FALSE),IF(H147="UBIII",VLOOKUP(D148,Sheet1!$A$4:$H$18,8,FALSE),IF(H147="",VLOOKUP(D148,Sheet1!$A$4:$H$18,2,FALSE),"0")))</f>
        <v>2120</v>
      </c>
      <c r="W148" s="201">
        <f t="shared" si="140"/>
        <v>0</v>
      </c>
      <c r="X148" s="208">
        <f t="shared" si="133"/>
        <v>5261</v>
      </c>
      <c r="Y148" s="171" t="str">
        <f t="shared" si="141"/>
        <v>SUCCESS</v>
      </c>
      <c r="Z148" s="171" t="str">
        <f t="shared" si="142"/>
        <v>SUCCESS</v>
      </c>
      <c r="AA148" s="185">
        <f t="shared" si="147"/>
        <v>154.41884644850597</v>
      </c>
    </row>
    <row r="149" spans="1:27">
      <c r="A149" s="112">
        <f>ROUNDDOWN(IF(N148-G149&gt;0,(IF(H148="AFIII",VLOOKUP(D149,Sheet1!$K$4:$S$19,5,FALSE),IF(H148="UBIII",VLOOKUP(D149,Sheet1!$K$4:$S$19,8,FALSE),VLOOKUP(D149,Sheet1!$K$4:$S$19,2,FALSE)))*1.2),IF(H148="AFIII",VLOOKUP(D149,Sheet1!$K$4:$S$19,5,FALSE),IF(H148="UBIII",VLOOKUP(D149,Sheet1!$K$4:$S$19,8,FALSE),VLOOKUP(D149,Sheet1!$K$4:$S$19,2,FALSE)))),0)</f>
        <v>604</v>
      </c>
      <c r="B149" s="113">
        <f t="shared" si="139"/>
        <v>57041</v>
      </c>
      <c r="C149" s="118">
        <f t="shared" si="129"/>
        <v>368.34000000000026</v>
      </c>
      <c r="D149" s="181" t="s">
        <v>6</v>
      </c>
      <c r="E149" s="182">
        <f>IF(H148="AFIII",VLOOKUP($D149,Sheet1!$A$34:$K$48,5,FALSE),IF(H148="UBIII",VLOOKUP($D149,Sheet1!$A$34:$K$48,8,FALSE),VLOOKUP($D149,Sheet1!$A$34:$K$48,2,FALSE)))</f>
        <v>2.86</v>
      </c>
      <c r="F149" s="182">
        <f>ROUNDDOWN((IF(H148="AFIII",VLOOKUP($D149,Sheet1!$A$34:$K$48,5,FALSE),IF(H148="UBIII",VLOOKUP($D149,Sheet1!$A$34:$K$48,8,FALSE),VLOOKUP($D149,Sheet1!$A$34:$K$48,2,FALSE))))*0.85,2)</f>
        <v>2.4300000000000002</v>
      </c>
      <c r="G149" s="182">
        <f t="shared" si="148"/>
        <v>2.86</v>
      </c>
      <c r="H149" s="183" t="s">
        <v>84</v>
      </c>
      <c r="I149" s="182">
        <f>I148-G149</f>
        <v>7.1400000000000006</v>
      </c>
      <c r="K149" s="182">
        <f>K148-G149</f>
        <v>19.03</v>
      </c>
      <c r="L149" s="182">
        <f>L148-G149</f>
        <v>49.03</v>
      </c>
      <c r="N149" s="182">
        <f>N148-G149</f>
        <v>11.89</v>
      </c>
      <c r="O149" s="182">
        <f t="shared" si="104"/>
        <v>31.249999999999851</v>
      </c>
      <c r="R149" s="182">
        <f t="shared" si="153"/>
        <v>54.75</v>
      </c>
      <c r="U149" s="184">
        <f t="shared" si="132"/>
        <v>28.399999999999949</v>
      </c>
      <c r="V149" s="201">
        <f>IF(H148="AFIII",VLOOKUP(D149,Sheet1!$A$4:$H$18,5,FALSE),IF(H148="UBIII",VLOOKUP(D149,Sheet1!$A$4:$H$18,8,FALSE),IF(H148="",VLOOKUP(D149,Sheet1!$A$4:$H$18,2,FALSE),"0")))</f>
        <v>1768</v>
      </c>
      <c r="W149" s="201">
        <f t="shared" si="140"/>
        <v>0</v>
      </c>
      <c r="X149" s="208">
        <f t="shared" si="133"/>
        <v>3493</v>
      </c>
      <c r="Y149" s="171" t="str">
        <f t="shared" si="141"/>
        <v>SUCCESS</v>
      </c>
      <c r="Z149" s="171" t="str">
        <f t="shared" si="142"/>
        <v>SUCCESS</v>
      </c>
      <c r="AA149" s="185">
        <f t="shared" si="147"/>
        <v>154.85964054949221</v>
      </c>
    </row>
    <row r="150" spans="1:27">
      <c r="A150" s="112">
        <f>ROUNDDOWN(IF(N149-G150&gt;0,(IF(H149="AFIII",VLOOKUP(D150,Sheet1!$K$4:$S$19,5,FALSE),IF(H149="UBIII",VLOOKUP(D150,Sheet1!$K$4:$S$19,8,FALSE),VLOOKUP(D150,Sheet1!$K$4:$S$19,2,FALSE)))*1.2),IF(H149="AFIII",VLOOKUP(D150,Sheet1!$K$4:$S$19,5,FALSE),IF(H149="UBIII",VLOOKUP(D150,Sheet1!$K$4:$S$19,8,FALSE),VLOOKUP(D150,Sheet1!$K$4:$S$19,2,FALSE)))),0)</f>
        <v>604</v>
      </c>
      <c r="B150" s="113">
        <f t="shared" si="139"/>
        <v>57645</v>
      </c>
      <c r="C150" s="118">
        <f t="shared" si="129"/>
        <v>371.20000000000027</v>
      </c>
      <c r="D150" s="181" t="s">
        <v>6</v>
      </c>
      <c r="E150" s="182">
        <f>IF(H149="AFIII",VLOOKUP($D150,Sheet1!$A$34:$K$48,5,FALSE),IF(H149="UBIII",VLOOKUP($D150,Sheet1!$A$34:$K$48,8,FALSE),VLOOKUP($D150,Sheet1!$A$34:$K$48,2,FALSE)))</f>
        <v>2.86</v>
      </c>
      <c r="F150" s="182">
        <f>ROUNDDOWN((IF(H149="AFIII",VLOOKUP($D150,Sheet1!$A$34:$K$48,5,FALSE),IF(H149="UBIII",VLOOKUP($D150,Sheet1!$A$34:$K$48,8,FALSE),VLOOKUP($D150,Sheet1!$A$34:$K$48,2,FALSE))))*0.85,2)</f>
        <v>2.4300000000000002</v>
      </c>
      <c r="G150" s="182">
        <f t="shared" si="148"/>
        <v>2.86</v>
      </c>
      <c r="H150" s="183" t="s">
        <v>84</v>
      </c>
      <c r="I150" s="182">
        <f>I149-G150</f>
        <v>4.2800000000000011</v>
      </c>
      <c r="K150" s="182">
        <f t="shared" ref="K150:K153" si="154">K149-G150</f>
        <v>16.170000000000002</v>
      </c>
      <c r="L150" s="182">
        <f t="shared" ref="L150:L171" si="155">L149-G150</f>
        <v>46.17</v>
      </c>
      <c r="N150" s="182">
        <f t="shared" ref="N150:N153" si="156">N149-G150</f>
        <v>9.0300000000000011</v>
      </c>
      <c r="O150" s="182">
        <f t="shared" si="104"/>
        <v>28.389999999999851</v>
      </c>
      <c r="R150" s="182">
        <f t="shared" si="153"/>
        <v>51.89</v>
      </c>
      <c r="U150" s="184">
        <f t="shared" si="132"/>
        <v>25.539999999999949</v>
      </c>
      <c r="V150" s="201">
        <f>IF(H149="AFIII",VLOOKUP(D150,Sheet1!$A$4:$H$18,5,FALSE),IF(H149="UBIII",VLOOKUP(D150,Sheet1!$A$4:$H$18,8,FALSE),IF(H149="",VLOOKUP(D150,Sheet1!$A$4:$H$18,2,FALSE),"0")))</f>
        <v>1768</v>
      </c>
      <c r="W150" s="201">
        <f t="shared" si="140"/>
        <v>0</v>
      </c>
      <c r="X150" s="208">
        <f t="shared" si="133"/>
        <v>1725</v>
      </c>
      <c r="Y150" s="171" t="str">
        <f t="shared" si="141"/>
        <v>SUCCESS</v>
      </c>
      <c r="Z150" s="171" t="str">
        <f t="shared" si="142"/>
        <v>SUCCESS</v>
      </c>
      <c r="AA150" s="185">
        <f t="shared" si="147"/>
        <v>155.29364224137919</v>
      </c>
    </row>
    <row r="151" spans="1:27">
      <c r="A151" s="112">
        <f>ROUNDDOWN(IF(N150-G151&gt;0,(IF(H150="AFIII",VLOOKUP(D151,Sheet1!$K$4:$S$19,5,FALSE),IF(H150="UBIII",VLOOKUP(D151,Sheet1!$K$4:$S$19,8,FALSE),VLOOKUP(D151,Sheet1!$K$4:$S$19,2,FALSE)))*1.2),IF(H150="AFIII",VLOOKUP(D151,Sheet1!$K$4:$S$19,5,FALSE),IF(H150="UBIII",VLOOKUP(D151,Sheet1!$K$4:$S$19,8,FALSE),VLOOKUP(D151,Sheet1!$K$4:$S$19,2,FALSE)))),0)</f>
        <v>518</v>
      </c>
      <c r="B151" s="113">
        <f t="shared" si="139"/>
        <v>58163</v>
      </c>
      <c r="C151" s="118">
        <f>C150+G151</f>
        <v>373.59000000000026</v>
      </c>
      <c r="D151" s="181" t="s">
        <v>129</v>
      </c>
      <c r="E151" s="182">
        <f>IF(H150="AFIII",VLOOKUP($D151,Sheet1!$A$34:$K$48,5,FALSE),IF(H150="UBIII",VLOOKUP($D151,Sheet1!$A$34:$K$48,8,FALSE),VLOOKUP($D151,Sheet1!$A$34:$K$48,2,FALSE)))</f>
        <v>2.39</v>
      </c>
      <c r="F151" s="182">
        <f>ROUNDDOWN((IF(H150="AFIII",VLOOKUP($D151,Sheet1!$A$34:$K$48,5,FALSE),IF(H150="UBIII",VLOOKUP($D151,Sheet1!$A$34:$K$48,8,FALSE),VLOOKUP($D151,Sheet1!$A$34:$K$48,2,FALSE))))*0.85,2)</f>
        <v>2.0299999999999998</v>
      </c>
      <c r="G151" s="182">
        <f t="shared" si="148"/>
        <v>2.39</v>
      </c>
      <c r="H151" s="183" t="s">
        <v>84</v>
      </c>
      <c r="I151" s="182">
        <v>10</v>
      </c>
      <c r="K151" s="182">
        <f t="shared" si="154"/>
        <v>13.780000000000001</v>
      </c>
      <c r="L151" s="182">
        <f t="shared" si="155"/>
        <v>43.78</v>
      </c>
      <c r="N151" s="182">
        <f t="shared" si="156"/>
        <v>6.6400000000000006</v>
      </c>
      <c r="O151" s="182">
        <f t="shared" si="104"/>
        <v>25.999999999999851</v>
      </c>
      <c r="R151" s="182">
        <f>R150-G151</f>
        <v>49.5</v>
      </c>
      <c r="U151" s="184">
        <f t="shared" si="132"/>
        <v>23.149999999999949</v>
      </c>
      <c r="V151" s="201">
        <f>IF(H150="AFIII",VLOOKUP(D151,Sheet1!$A$4:$H$18,5,FALSE),IF(H150="UBIII",VLOOKUP(D151,Sheet1!$A$4:$H$18,8,FALSE),IF(H150="",VLOOKUP(D151,Sheet1!$A$4:$H$18,2,FALSE),"0")))</f>
        <v>0</v>
      </c>
      <c r="W151" s="201">
        <f t="shared" si="140"/>
        <v>0</v>
      </c>
      <c r="X151" s="208">
        <f>IF(M151="コンバート",(IF(D151="フレア",0,IF(X150-V151+W151&gt;$X$3,$X$3-V151,X150-V151+W151)))+$X$1,IF(D151="フレア",0,IF(X150-V151+W151&gt;$X$3,$X$3-V151,X150-V151+W151)))</f>
        <v>1725</v>
      </c>
      <c r="Y151" s="171" t="str">
        <f t="shared" si="141"/>
        <v>SUCCESS</v>
      </c>
      <c r="Z151" s="171" t="str">
        <f t="shared" si="142"/>
        <v>SUCCESS</v>
      </c>
      <c r="AA151" s="185">
        <f t="shared" si="147"/>
        <v>155.68671538317395</v>
      </c>
    </row>
    <row r="152" spans="1:27">
      <c r="A152" s="112">
        <f>ROUNDDOWN(IF(N151-G152&gt;0,(IF(H151="AFIII",VLOOKUP(D152,Sheet1!$K$4:$S$19,5,FALSE),IF(H151="UBIII",VLOOKUP(D152,Sheet1!$K$4:$S$19,8,FALSE),VLOOKUP(D152,Sheet1!$K$4:$S$19,2,FALSE)))*1.2),IF(H151="AFIII",VLOOKUP(D152,Sheet1!$K$4:$S$19,5,FALSE),IF(H151="UBIII",VLOOKUP(D152,Sheet1!$K$4:$S$19,8,FALSE),VLOOKUP(D152,Sheet1!$K$4:$S$19,2,FALSE)))),0)</f>
        <v>201</v>
      </c>
      <c r="B152" s="113">
        <f t="shared" si="139"/>
        <v>58364</v>
      </c>
      <c r="C152" s="118">
        <f t="shared" ref="C152:C171" si="157">C151+G152</f>
        <v>375.98000000000025</v>
      </c>
      <c r="D152" s="181" t="s">
        <v>12</v>
      </c>
      <c r="E152" s="182">
        <f>IF(H151="AFIII",VLOOKUP($D152,Sheet1!$A$34:$K$48,5,FALSE),IF(H151="UBIII",VLOOKUP($D152,Sheet1!$A$34:$K$48,8,FALSE),VLOOKUP($D152,Sheet1!$A$34:$K$48,2,FALSE)))</f>
        <v>1.67</v>
      </c>
      <c r="F152" s="182">
        <f>ROUNDDOWN((IF(H151="AFIII",VLOOKUP($D152,Sheet1!$A$34:$K$48,5,FALSE),IF(H151="UBIII",VLOOKUP($D152,Sheet1!$A$34:$K$48,8,FALSE),VLOOKUP($D152,Sheet1!$A$34:$K$48,2,FALSE))))*0.85,2)</f>
        <v>1.41</v>
      </c>
      <c r="G152" s="182">
        <f>IF(M151="迅速",IF(S151="黒魔紋",$F$1,$E$1),IF(S151="黒魔紋",IF(F152&lt;$F$1,$F$1,F152),IF(E152&lt;$E$1,$E$1,E152)))</f>
        <v>2.39</v>
      </c>
      <c r="H152" s="183" t="s">
        <v>122</v>
      </c>
      <c r="I152" s="182">
        <v>10</v>
      </c>
      <c r="K152" s="182">
        <f t="shared" si="154"/>
        <v>11.39</v>
      </c>
      <c r="L152" s="182">
        <f t="shared" si="155"/>
        <v>41.39</v>
      </c>
      <c r="N152" s="182">
        <f t="shared" si="156"/>
        <v>4.25</v>
      </c>
      <c r="O152" s="182">
        <f t="shared" si="104"/>
        <v>23.60999999999985</v>
      </c>
      <c r="R152" s="182">
        <f t="shared" ref="R152:R166" si="158">R151-G152</f>
        <v>47.11</v>
      </c>
      <c r="U152" s="184">
        <f t="shared" si="132"/>
        <v>20.759999999999948</v>
      </c>
      <c r="V152" s="201">
        <f>IF(H151="AFIII",VLOOKUP(D152,Sheet1!$A$4:$H$18,5,FALSE),IF(H151="UBIII",VLOOKUP(D152,Sheet1!$A$4:$H$18,8,FALSE),IF(H151="",VLOOKUP(D152,Sheet1!$A$4:$H$18,2,FALSE),"0")))</f>
        <v>265</v>
      </c>
      <c r="W152" s="201">
        <f t="shared" si="140"/>
        <v>0</v>
      </c>
      <c r="X152" s="208">
        <f t="shared" ref="X152:X171" si="159">IF(M152="コンバート",(IF(D152="フレア",0,IF(X151-V152+W152&gt;$X$3,$X$3-V152,X151-V152+W152)))+$X$1,IF(D152="フレア",0,IF(X151-V152+W152&gt;$X$3,$X$3-V152,X151-V152+W152)))</f>
        <v>1460</v>
      </c>
      <c r="Y152" s="171" t="str">
        <f t="shared" si="141"/>
        <v>SUCCESS</v>
      </c>
      <c r="Z152" s="171" t="str">
        <f t="shared" si="142"/>
        <v>SUCCESS</v>
      </c>
      <c r="AA152" s="185">
        <f t="shared" si="147"/>
        <v>155.23166125857747</v>
      </c>
    </row>
    <row r="153" spans="1:27">
      <c r="A153" s="112">
        <f>ROUNDDOWN(IF(N152-G153&gt;0,(IF(H152="AFIII",VLOOKUP(D153,Sheet1!$K$4:$S$19,5,FALSE),IF(H152="UBIII",VLOOKUP(D153,Sheet1!$K$4:$S$19,8,FALSE),VLOOKUP(D153,Sheet1!$K$4:$S$19,2,FALSE)))*1.2),IF(H152="AFIII",VLOOKUP(D153,Sheet1!$K$4:$S$19,5,FALSE),IF(H152="UBIII",VLOOKUP(D153,Sheet1!$K$4:$S$19,8,FALSE),VLOOKUP(D153,Sheet1!$K$4:$S$19,2,FALSE)))),0)</f>
        <v>354</v>
      </c>
      <c r="B153" s="113">
        <f t="shared" si="139"/>
        <v>58718</v>
      </c>
      <c r="C153" s="118">
        <f t="shared" si="157"/>
        <v>378.84000000000026</v>
      </c>
      <c r="D153" s="181" t="s">
        <v>19</v>
      </c>
      <c r="E153" s="182">
        <f>IF(H152="AFIII",VLOOKUP($D153,Sheet1!$A$34:$K$48,5,FALSE),IF(H152="UBIII",VLOOKUP($D153,Sheet1!$A$34:$K$48,8,FALSE),VLOOKUP($D153,Sheet1!$A$34:$K$48,2,FALSE)))</f>
        <v>2.86</v>
      </c>
      <c r="F153" s="182">
        <f>ROUNDDOWN((IF(H152="AFIII",VLOOKUP($D153,Sheet1!$A$34:$K$48,5,FALSE),IF(H152="UBIII",VLOOKUP($D153,Sheet1!$A$34:$K$48,8,FALSE),VLOOKUP($D153,Sheet1!$A$34:$K$48,2,FALSE))))*0.85,2)</f>
        <v>2.4300000000000002</v>
      </c>
      <c r="G153" s="182">
        <f>IF(M152="迅速",IF(S152="黒魔紋",$F$1,$E$1),IF(S152="黒魔紋",IF(F153&lt;$F$1,$F$1,F153),IF(E153&lt;$E$1,$E$1,E153)))</f>
        <v>2.86</v>
      </c>
      <c r="H153" s="183" t="s">
        <v>122</v>
      </c>
      <c r="I153" s="182">
        <f t="shared" ref="I153:I154" si="160">I152-G153</f>
        <v>7.1400000000000006</v>
      </c>
      <c r="K153" s="182">
        <f t="shared" si="154"/>
        <v>8.5300000000000011</v>
      </c>
      <c r="L153" s="182">
        <f t="shared" si="155"/>
        <v>38.53</v>
      </c>
      <c r="N153" s="182">
        <f t="shared" si="156"/>
        <v>1.3900000000000001</v>
      </c>
      <c r="O153" s="182">
        <f t="shared" si="104"/>
        <v>20.749999999999851</v>
      </c>
      <c r="P153" s="183" t="s">
        <v>17</v>
      </c>
      <c r="Q153" s="182">
        <v>21</v>
      </c>
      <c r="R153" s="182">
        <f t="shared" si="158"/>
        <v>44.25</v>
      </c>
      <c r="U153" s="184">
        <f t="shared" si="132"/>
        <v>17.899999999999949</v>
      </c>
      <c r="V153" s="201">
        <f>IF(H152="AFIII",VLOOKUP(D153,Sheet1!$A$4:$H$18,5,FALSE),IF(H152="UBIII",VLOOKUP(D153,Sheet1!$A$4:$H$18,8,FALSE),IF(H152="",VLOOKUP(D153,Sheet1!$A$4:$H$18,2,FALSE),"0")))</f>
        <v>1060</v>
      </c>
      <c r="W153" s="201">
        <f t="shared" si="140"/>
        <v>7033</v>
      </c>
      <c r="X153" s="208">
        <f t="shared" si="159"/>
        <v>7433</v>
      </c>
      <c r="Y153" s="171" t="str">
        <f t="shared" si="141"/>
        <v>SUCCESS</v>
      </c>
      <c r="Z153" s="171" t="str">
        <f t="shared" si="142"/>
        <v>SUCCESS</v>
      </c>
      <c r="AA153" s="185">
        <f t="shared" si="147"/>
        <v>154.99419279907073</v>
      </c>
    </row>
    <row r="154" spans="1:27">
      <c r="A154" s="119">
        <f>ROUNDDOWN(IF(N153-G154&gt;0,(IF(H153="AFIII",VLOOKUP(D154,Sheet1!$K$4:$S$19,5,FALSE),IF(H153="UBIII",VLOOKUP(D154,Sheet1!$K$4:$S$19,8,FALSE),VLOOKUP(D154,Sheet1!$K$4:$S$19,2,FALSE)))*1.2),IF(H153="AFIII",VLOOKUP(D154,Sheet1!$K$4:$S$19,5,FALSE),IF(H153="UBIII",VLOOKUP(D154,Sheet1!$K$4:$S$19,8,FALSE),VLOOKUP(D154,Sheet1!$K$4:$S$19,2,FALSE)))),0)</f>
        <v>280</v>
      </c>
      <c r="B154" s="120">
        <f t="shared" si="139"/>
        <v>58998</v>
      </c>
      <c r="C154" s="121">
        <f t="shared" si="157"/>
        <v>381.70000000000027</v>
      </c>
      <c r="D154" s="191" t="s">
        <v>14</v>
      </c>
      <c r="E154" s="192">
        <f>IF(H153="AFIII",VLOOKUP($D154,Sheet1!$A$34:$K$48,5,FALSE),IF(H153="UBIII",VLOOKUP($D154,Sheet1!$A$34:$K$48,8,FALSE),VLOOKUP($D154,Sheet1!$A$34:$K$48,2,FALSE)))</f>
        <v>2.86</v>
      </c>
      <c r="F154" s="192">
        <f>ROUNDDOWN((IF(H153="AFIII",VLOOKUP($D154,Sheet1!$A$34:$K$48,5,FALSE),IF(H153="UBIII",VLOOKUP($D154,Sheet1!$A$34:$K$48,8,FALSE),VLOOKUP($D154,Sheet1!$A$34:$K$48,2,FALSE))))*0.85,2)</f>
        <v>2.4300000000000002</v>
      </c>
      <c r="G154" s="192">
        <f t="shared" ref="G154:G171" si="161">IF(M153="迅速",IF(S153="黒魔紋",$F$1,$E$1),IF(S153="黒魔紋",IF(F154&lt;$F$1,$F$1,F154),IF(E154&lt;$E$1,$E$1,E154)))</f>
        <v>2.86</v>
      </c>
      <c r="H154" s="193" t="s">
        <v>122</v>
      </c>
      <c r="I154" s="192">
        <f t="shared" si="160"/>
        <v>4.2800000000000011</v>
      </c>
      <c r="J154" s="193"/>
      <c r="K154" s="192">
        <v>25</v>
      </c>
      <c r="L154" s="192">
        <f t="shared" si="155"/>
        <v>35.67</v>
      </c>
      <c r="M154" s="193"/>
      <c r="N154" s="192"/>
      <c r="O154" s="192">
        <f t="shared" si="104"/>
        <v>17.889999999999851</v>
      </c>
      <c r="P154" s="193"/>
      <c r="Q154" s="192">
        <f>Q153-G154</f>
        <v>18.14</v>
      </c>
      <c r="R154" s="192">
        <f t="shared" si="158"/>
        <v>41.39</v>
      </c>
      <c r="S154" s="193"/>
      <c r="T154" s="192"/>
      <c r="U154" s="194">
        <f t="shared" si="132"/>
        <v>15.039999999999949</v>
      </c>
      <c r="V154" s="211">
        <f>IF(H153="AFIII",VLOOKUP(D154,Sheet1!$A$4:$H$18,5,FALSE),IF(H153="UBIII",VLOOKUP(D154,Sheet1!$A$4:$H$18,8,FALSE),IF(H153="",VLOOKUP(D154,Sheet1!$A$4:$H$18,2,FALSE),"0")))</f>
        <v>884</v>
      </c>
      <c r="W154" s="211">
        <f t="shared" si="140"/>
        <v>7033</v>
      </c>
      <c r="X154" s="212">
        <f t="shared" si="159"/>
        <v>10475</v>
      </c>
      <c r="Y154" s="195" t="str">
        <f t="shared" si="141"/>
        <v>SUCCESS</v>
      </c>
      <c r="Z154" s="195" t="str">
        <f t="shared" si="142"/>
        <v>SUCCESS</v>
      </c>
      <c r="AA154" s="185">
        <f t="shared" si="147"/>
        <v>154.56641341367555</v>
      </c>
    </row>
    <row r="155" spans="1:27">
      <c r="A155" s="112">
        <f>ROUNDDOWN(IF(N154-G155&gt;0,(IF(H154="AFIII",VLOOKUP(D155,Sheet1!$K$4:$S$19,5,FALSE),IF(H154="UBIII",VLOOKUP(D155,Sheet1!$K$4:$S$19,8,FALSE),VLOOKUP(D155,Sheet1!$K$4:$S$19,2,FALSE)))*1.2),IF(H154="AFIII",VLOOKUP(D155,Sheet1!$K$4:$S$19,5,FALSE),IF(H154="UBIII",VLOOKUP(D155,Sheet1!$K$4:$S$19,8,FALSE),VLOOKUP(D155,Sheet1!$K$4:$S$19,2,FALSE)))),0)</f>
        <v>168</v>
      </c>
      <c r="B155" s="113">
        <f t="shared" si="139"/>
        <v>59166</v>
      </c>
      <c r="C155" s="118">
        <f t="shared" si="157"/>
        <v>384.09000000000026</v>
      </c>
      <c r="D155" s="181" t="s">
        <v>4</v>
      </c>
      <c r="E155" s="182">
        <f>IF(H154="AFIII",VLOOKUP($D155,Sheet1!$A$34:$K$48,5,FALSE),IF(H154="UBIII",VLOOKUP($D155,Sheet1!$A$34:$K$48,8,FALSE),VLOOKUP($D155,Sheet1!$A$34:$K$48,2,FALSE)))</f>
        <v>1.67</v>
      </c>
      <c r="F155" s="182">
        <f>ROUNDDOWN((IF(H154="AFIII",VLOOKUP($D155,Sheet1!$A$34:$K$48,5,FALSE),IF(H154="UBIII",VLOOKUP($D155,Sheet1!$A$34:$K$48,8,FALSE),VLOOKUP($D155,Sheet1!$A$34:$K$48,2,FALSE))))*0.85,2)</f>
        <v>1.41</v>
      </c>
      <c r="G155" s="182">
        <f t="shared" si="161"/>
        <v>2.39</v>
      </c>
      <c r="H155" s="183" t="s">
        <v>84</v>
      </c>
      <c r="I155" s="182">
        <v>10</v>
      </c>
      <c r="K155" s="182">
        <f>K154-G155</f>
        <v>22.61</v>
      </c>
      <c r="L155" s="182">
        <f t="shared" si="155"/>
        <v>33.28</v>
      </c>
      <c r="O155" s="182">
        <f t="shared" si="104"/>
        <v>15.499999999999851</v>
      </c>
      <c r="Q155" s="182">
        <f t="shared" ref="Q155:Q161" si="162">Q154-G155</f>
        <v>15.75</v>
      </c>
      <c r="R155" s="182">
        <f t="shared" si="158"/>
        <v>39</v>
      </c>
      <c r="U155" s="184">
        <f t="shared" si="132"/>
        <v>12.649999999999949</v>
      </c>
      <c r="V155" s="201">
        <f>IF(H154="AFIII",VLOOKUP(D155,Sheet1!$A$4:$H$18,5,FALSE),IF(H154="UBIII",VLOOKUP(D155,Sheet1!$A$4:$H$18,8,FALSE),IF(H154="",VLOOKUP(D155,Sheet1!$A$4:$H$18,2,FALSE),"0")))</f>
        <v>442</v>
      </c>
      <c r="W155" s="201">
        <f t="shared" si="140"/>
        <v>7033</v>
      </c>
      <c r="X155" s="208">
        <f t="shared" si="159"/>
        <v>10917</v>
      </c>
      <c r="Y155" s="171" t="str">
        <f t="shared" si="141"/>
        <v>SUCCESS</v>
      </c>
      <c r="Z155" s="171" t="str">
        <f t="shared" si="142"/>
        <v>SUCCESS</v>
      </c>
      <c r="AA155" s="185">
        <f t="shared" si="147"/>
        <v>154.042021401234</v>
      </c>
    </row>
    <row r="156" spans="1:27">
      <c r="A156" s="112">
        <f>ROUNDDOWN(IF(N155-G156&gt;0,(IF(H155="AFIII",VLOOKUP(D156,Sheet1!$K$4:$S$19,5,FALSE),IF(H155="UBIII",VLOOKUP(D156,Sheet1!$K$4:$S$19,8,FALSE),VLOOKUP(D156,Sheet1!$K$4:$S$19,2,FALSE)))*1.2),IF(H155="AFIII",VLOOKUP(D156,Sheet1!$K$4:$S$19,5,FALSE),IF(H155="UBIII",VLOOKUP(D156,Sheet1!$K$4:$S$19,8,FALSE),VLOOKUP(D156,Sheet1!$K$4:$S$19,2,FALSE)))),0)</f>
        <v>504</v>
      </c>
      <c r="B156" s="113">
        <f t="shared" si="139"/>
        <v>59670</v>
      </c>
      <c r="C156" s="118">
        <f t="shared" si="157"/>
        <v>386.95000000000027</v>
      </c>
      <c r="D156" s="181" t="s">
        <v>6</v>
      </c>
      <c r="E156" s="182">
        <f>IF(H155="AFIII",VLOOKUP($D156,Sheet1!$A$34:$K$48,5,FALSE),IF(H155="UBIII",VLOOKUP($D156,Sheet1!$A$34:$K$48,8,FALSE),VLOOKUP($D156,Sheet1!$A$34:$K$48,2,FALSE)))</f>
        <v>2.86</v>
      </c>
      <c r="F156" s="182">
        <f>ROUNDDOWN((IF(H155="AFIII",VLOOKUP($D156,Sheet1!$A$34:$K$48,5,FALSE),IF(H155="UBIII",VLOOKUP($D156,Sheet1!$A$34:$K$48,8,FALSE),VLOOKUP($D156,Sheet1!$A$34:$K$48,2,FALSE))))*0.85,2)</f>
        <v>2.4300000000000002</v>
      </c>
      <c r="G156" s="182">
        <f t="shared" si="161"/>
        <v>2.86</v>
      </c>
      <c r="H156" s="183" t="s">
        <v>84</v>
      </c>
      <c r="I156" s="182">
        <f>I155-G156</f>
        <v>7.1400000000000006</v>
      </c>
      <c r="K156" s="182">
        <f t="shared" ref="K156:K162" si="163">K155-G156</f>
        <v>19.75</v>
      </c>
      <c r="L156" s="182">
        <f t="shared" si="155"/>
        <v>30.42</v>
      </c>
      <c r="O156" s="182">
        <f t="shared" ref="O156:O171" si="164">O155-G156</f>
        <v>12.639999999999851</v>
      </c>
      <c r="Q156" s="182">
        <f t="shared" si="162"/>
        <v>12.89</v>
      </c>
      <c r="R156" s="182">
        <f t="shared" si="158"/>
        <v>36.14</v>
      </c>
      <c r="U156" s="184">
        <f t="shared" si="132"/>
        <v>9.7899999999999494</v>
      </c>
      <c r="V156" s="201">
        <f>IF(H155="AFIII",VLOOKUP(D156,Sheet1!$A$4:$H$18,5,FALSE),IF(H155="UBIII",VLOOKUP(D156,Sheet1!$A$4:$H$18,8,FALSE),IF(H155="",VLOOKUP(D156,Sheet1!$A$4:$H$18,2,FALSE),"0")))</f>
        <v>1768</v>
      </c>
      <c r="W156" s="201">
        <f t="shared" si="140"/>
        <v>0</v>
      </c>
      <c r="X156" s="208">
        <f t="shared" si="159"/>
        <v>9149</v>
      </c>
      <c r="Y156" s="171" t="str">
        <f t="shared" si="141"/>
        <v>SUCCESS</v>
      </c>
      <c r="Z156" s="171" t="str">
        <f t="shared" si="142"/>
        <v>SUCCESS</v>
      </c>
      <c r="AA156" s="185">
        <f t="shared" si="147"/>
        <v>154.20596976353522</v>
      </c>
    </row>
    <row r="157" spans="1:27">
      <c r="A157" s="112">
        <f>ROUNDDOWN(IF(N156-G157&gt;0,(IF(H156="AFIII",VLOOKUP(D157,Sheet1!$K$4:$S$19,5,FALSE),IF(H156="UBIII",VLOOKUP(D157,Sheet1!$K$4:$S$19,8,FALSE),VLOOKUP(D157,Sheet1!$K$4:$S$19,2,FALSE)))*1.2),IF(H156="AFIII",VLOOKUP(D157,Sheet1!$K$4:$S$19,5,FALSE),IF(H156="UBIII",VLOOKUP(D157,Sheet1!$K$4:$S$19,8,FALSE),VLOOKUP(D157,Sheet1!$K$4:$S$19,2,FALSE)))),0)</f>
        <v>504</v>
      </c>
      <c r="B157" s="113">
        <f t="shared" si="139"/>
        <v>60174</v>
      </c>
      <c r="C157" s="118">
        <f t="shared" si="157"/>
        <v>389.81000000000029</v>
      </c>
      <c r="D157" s="181" t="s">
        <v>6</v>
      </c>
      <c r="E157" s="182">
        <f>IF(H156="AFIII",VLOOKUP($D157,Sheet1!$A$34:$K$48,5,FALSE),IF(H156="UBIII",VLOOKUP($D157,Sheet1!$A$34:$K$48,8,FALSE),VLOOKUP($D157,Sheet1!$A$34:$K$48,2,FALSE)))</f>
        <v>2.86</v>
      </c>
      <c r="F157" s="182">
        <f>ROUNDDOWN((IF(H156="AFIII",VLOOKUP($D157,Sheet1!$A$34:$K$48,5,FALSE),IF(H156="UBIII",VLOOKUP($D157,Sheet1!$A$34:$K$48,8,FALSE),VLOOKUP($D157,Sheet1!$A$34:$K$48,2,FALSE))))*0.85,2)</f>
        <v>2.4300000000000002</v>
      </c>
      <c r="G157" s="182">
        <f t="shared" si="161"/>
        <v>2.86</v>
      </c>
      <c r="H157" s="183" t="s">
        <v>84</v>
      </c>
      <c r="I157" s="182">
        <f>I156-G157</f>
        <v>4.2800000000000011</v>
      </c>
      <c r="K157" s="182">
        <f t="shared" si="163"/>
        <v>16.89</v>
      </c>
      <c r="L157" s="182">
        <f t="shared" si="155"/>
        <v>27.560000000000002</v>
      </c>
      <c r="O157" s="182">
        <f t="shared" si="164"/>
        <v>9.7799999999998519</v>
      </c>
      <c r="Q157" s="182">
        <f t="shared" si="162"/>
        <v>10.030000000000001</v>
      </c>
      <c r="R157" s="182">
        <f t="shared" si="158"/>
        <v>33.28</v>
      </c>
      <c r="U157" s="184">
        <f t="shared" si="132"/>
        <v>6.92999999999995</v>
      </c>
      <c r="V157" s="201">
        <f>IF(H156="AFIII",VLOOKUP(D157,Sheet1!$A$4:$H$18,5,FALSE),IF(H156="UBIII",VLOOKUP(D157,Sheet1!$A$4:$H$18,8,FALSE),IF(H156="",VLOOKUP(D157,Sheet1!$A$4:$H$18,2,FALSE),"0")))</f>
        <v>1768</v>
      </c>
      <c r="W157" s="201">
        <f t="shared" si="140"/>
        <v>0</v>
      </c>
      <c r="X157" s="208">
        <f t="shared" si="159"/>
        <v>7381</v>
      </c>
      <c r="Y157" s="171" t="str">
        <f t="shared" si="141"/>
        <v>SUCCESS</v>
      </c>
      <c r="Z157" s="171" t="str">
        <f t="shared" si="142"/>
        <v>SUCCESS</v>
      </c>
      <c r="AA157" s="185">
        <f t="shared" si="147"/>
        <v>154.36751237782499</v>
      </c>
    </row>
    <row r="158" spans="1:27">
      <c r="A158" s="112">
        <f>ROUNDDOWN(IF(N157-G158&gt;0,(IF(H157="AFIII",VLOOKUP(D158,Sheet1!$K$4:$S$19,5,FALSE),IF(H157="UBIII",VLOOKUP(D158,Sheet1!$K$4:$S$19,8,FALSE),VLOOKUP(D158,Sheet1!$K$4:$S$19,2,FALSE)))*1.2),IF(H157="AFIII",VLOOKUP(D158,Sheet1!$K$4:$S$19,5,FALSE),IF(H157="UBIII",VLOOKUP(D158,Sheet1!$K$4:$S$19,8,FALSE),VLOOKUP(D158,Sheet1!$K$4:$S$19,2,FALSE)))),0)</f>
        <v>324</v>
      </c>
      <c r="B158" s="113">
        <f t="shared" si="139"/>
        <v>60498</v>
      </c>
      <c r="C158" s="118">
        <f t="shared" si="157"/>
        <v>392.20000000000027</v>
      </c>
      <c r="D158" s="181" t="s">
        <v>1</v>
      </c>
      <c r="E158" s="182">
        <f>IF(H157="AFIII",VLOOKUP($D158,Sheet1!$A$34:$K$48,5,FALSE),IF(H157="UBIII",VLOOKUP($D158,Sheet1!$A$34:$K$48,8,FALSE),VLOOKUP($D158,Sheet1!$A$34:$K$48,2,FALSE)))</f>
        <v>2.39</v>
      </c>
      <c r="F158" s="182">
        <f>ROUNDDOWN((IF(H157="AFIII",VLOOKUP($D158,Sheet1!$A$34:$K$48,5,FALSE),IF(H157="UBIII",VLOOKUP($D158,Sheet1!$A$34:$K$48,8,FALSE),VLOOKUP($D158,Sheet1!$A$34:$K$48,2,FALSE))))*0.85,2)</f>
        <v>2.0299999999999998</v>
      </c>
      <c r="G158" s="182">
        <f t="shared" si="161"/>
        <v>2.39</v>
      </c>
      <c r="H158" s="183" t="s">
        <v>84</v>
      </c>
      <c r="I158" s="182">
        <v>10</v>
      </c>
      <c r="K158" s="182">
        <f t="shared" si="163"/>
        <v>14.5</v>
      </c>
      <c r="L158" s="182">
        <f t="shared" si="155"/>
        <v>25.17</v>
      </c>
      <c r="O158" s="182">
        <f t="shared" si="164"/>
        <v>7.3899999999998514</v>
      </c>
      <c r="Q158" s="182">
        <f t="shared" si="162"/>
        <v>7.6400000000000006</v>
      </c>
      <c r="R158" s="182">
        <f t="shared" si="158"/>
        <v>30.89</v>
      </c>
      <c r="U158" s="184">
        <f t="shared" si="132"/>
        <v>4.5399999999999494</v>
      </c>
      <c r="V158" s="201">
        <f>IF(H157="AFIII",VLOOKUP(D158,Sheet1!$A$4:$H$18,5,FALSE),IF(H157="UBIII",VLOOKUP(D158,Sheet1!$A$4:$H$18,8,FALSE),IF(H157="",VLOOKUP(D158,Sheet1!$A$4:$H$18,2,FALSE),"0")))</f>
        <v>2120</v>
      </c>
      <c r="W158" s="201">
        <f t="shared" si="140"/>
        <v>0</v>
      </c>
      <c r="X158" s="208">
        <f t="shared" si="159"/>
        <v>5261</v>
      </c>
      <c r="Y158" s="171" t="str">
        <f t="shared" si="141"/>
        <v>SUCCESS</v>
      </c>
      <c r="Z158" s="171" t="str">
        <f t="shared" si="142"/>
        <v>SUCCESS</v>
      </c>
      <c r="AA158" s="185">
        <f t="shared" si="147"/>
        <v>154.25293217746037</v>
      </c>
    </row>
    <row r="159" spans="1:27">
      <c r="A159" s="112">
        <f>ROUNDDOWN(IF(N158-G159&gt;0,(IF(H158="AFIII",VLOOKUP(D159,Sheet1!$K$4:$S$19,5,FALSE),IF(H158="UBIII",VLOOKUP(D159,Sheet1!$K$4:$S$19,8,FALSE),VLOOKUP(D159,Sheet1!$K$4:$S$19,2,FALSE)))*1.2),IF(H158="AFIII",VLOOKUP(D159,Sheet1!$K$4:$S$19,5,FALSE),IF(H158="UBIII",VLOOKUP(D159,Sheet1!$K$4:$S$19,8,FALSE),VLOOKUP(D159,Sheet1!$K$4:$S$19,2,FALSE)))),0)</f>
        <v>504</v>
      </c>
      <c r="B159" s="113">
        <f t="shared" si="139"/>
        <v>61002</v>
      </c>
      <c r="C159" s="118">
        <f t="shared" si="157"/>
        <v>395.06000000000029</v>
      </c>
      <c r="D159" s="181" t="s">
        <v>6</v>
      </c>
      <c r="E159" s="182">
        <f>IF(H158="AFIII",VLOOKUP($D159,Sheet1!$A$34:$K$48,5,FALSE),IF(H158="UBIII",VLOOKUP($D159,Sheet1!$A$34:$K$48,8,FALSE),VLOOKUP($D159,Sheet1!$A$34:$K$48,2,FALSE)))</f>
        <v>2.86</v>
      </c>
      <c r="F159" s="182">
        <f>ROUNDDOWN((IF(H158="AFIII",VLOOKUP($D159,Sheet1!$A$34:$K$48,5,FALSE),IF(H158="UBIII",VLOOKUP($D159,Sheet1!$A$34:$K$48,8,FALSE),VLOOKUP($D159,Sheet1!$A$34:$K$48,2,FALSE))))*0.85,2)</f>
        <v>2.4300000000000002</v>
      </c>
      <c r="G159" s="182">
        <f t="shared" si="161"/>
        <v>2.86</v>
      </c>
      <c r="H159" s="183" t="s">
        <v>84</v>
      </c>
      <c r="I159" s="182">
        <f>I158-G159</f>
        <v>7.1400000000000006</v>
      </c>
      <c r="K159" s="182">
        <f t="shared" si="163"/>
        <v>11.64</v>
      </c>
      <c r="L159" s="182">
        <f t="shared" si="155"/>
        <v>22.310000000000002</v>
      </c>
      <c r="O159" s="182">
        <f t="shared" si="164"/>
        <v>4.5299999999998519</v>
      </c>
      <c r="Q159" s="182">
        <f t="shared" si="162"/>
        <v>4.7800000000000011</v>
      </c>
      <c r="R159" s="182">
        <f t="shared" si="158"/>
        <v>28.03</v>
      </c>
      <c r="U159" s="184">
        <f t="shared" si="132"/>
        <v>1.6799999999999495</v>
      </c>
      <c r="V159" s="201">
        <f>IF(H158="AFIII",VLOOKUP(D159,Sheet1!$A$4:$H$18,5,FALSE),IF(H158="UBIII",VLOOKUP(D159,Sheet1!$A$4:$H$18,8,FALSE),IF(H158="",VLOOKUP(D159,Sheet1!$A$4:$H$18,2,FALSE),"0")))</f>
        <v>1768</v>
      </c>
      <c r="W159" s="201">
        <f t="shared" si="140"/>
        <v>0</v>
      </c>
      <c r="X159" s="208">
        <f t="shared" si="159"/>
        <v>3493</v>
      </c>
      <c r="Y159" s="171" t="str">
        <f t="shared" si="141"/>
        <v>SUCCESS</v>
      </c>
      <c r="Z159" s="171" t="str">
        <f t="shared" si="142"/>
        <v>SUCCESS</v>
      </c>
      <c r="AA159" s="185">
        <f t="shared" si="147"/>
        <v>154.41198805244761</v>
      </c>
    </row>
    <row r="160" spans="1:27">
      <c r="A160" s="112">
        <f>ROUNDDOWN(IF(N159-G160&gt;0,(IF(H159="AFIII",VLOOKUP(D160,Sheet1!$K$4:$S$19,5,FALSE),IF(H159="UBIII",VLOOKUP(D160,Sheet1!$K$4:$S$19,8,FALSE),VLOOKUP(D160,Sheet1!$K$4:$S$19,2,FALSE)))*1.2),IF(H159="AFIII",VLOOKUP(D160,Sheet1!$K$4:$S$19,5,FALSE),IF(H159="UBIII",VLOOKUP(D160,Sheet1!$K$4:$S$19,8,FALSE),VLOOKUP(D160,Sheet1!$K$4:$S$19,2,FALSE)))),0)</f>
        <v>504</v>
      </c>
      <c r="B160" s="113">
        <f t="shared" si="139"/>
        <v>61506</v>
      </c>
      <c r="C160" s="118">
        <f t="shared" si="157"/>
        <v>397.9200000000003</v>
      </c>
      <c r="D160" s="181" t="s">
        <v>6</v>
      </c>
      <c r="E160" s="182">
        <f>IF(H159="AFIII",VLOOKUP($D160,Sheet1!$A$34:$K$48,5,FALSE),IF(H159="UBIII",VLOOKUP($D160,Sheet1!$A$34:$K$48,8,FALSE),VLOOKUP($D160,Sheet1!$A$34:$K$48,2,FALSE)))</f>
        <v>2.86</v>
      </c>
      <c r="F160" s="182">
        <f>ROUNDDOWN((IF(H159="AFIII",VLOOKUP($D160,Sheet1!$A$34:$K$48,5,FALSE),IF(H159="UBIII",VLOOKUP($D160,Sheet1!$A$34:$K$48,8,FALSE),VLOOKUP($D160,Sheet1!$A$34:$K$48,2,FALSE))))*0.85,2)</f>
        <v>2.4300000000000002</v>
      </c>
      <c r="G160" s="182">
        <f t="shared" si="161"/>
        <v>2.86</v>
      </c>
      <c r="H160" s="183" t="s">
        <v>84</v>
      </c>
      <c r="I160" s="182">
        <f>I159-G160</f>
        <v>4.2800000000000011</v>
      </c>
      <c r="K160" s="182">
        <f t="shared" si="163"/>
        <v>8.7800000000000011</v>
      </c>
      <c r="L160" s="182">
        <f t="shared" si="155"/>
        <v>19.450000000000003</v>
      </c>
      <c r="O160" s="182">
        <f t="shared" si="164"/>
        <v>1.669999999999852</v>
      </c>
      <c r="Q160" s="182">
        <f t="shared" si="162"/>
        <v>1.9200000000000013</v>
      </c>
      <c r="R160" s="182">
        <f t="shared" si="158"/>
        <v>25.17</v>
      </c>
      <c r="U160" s="184">
        <f t="shared" si="132"/>
        <v>-1.1800000000000503</v>
      </c>
      <c r="V160" s="201">
        <f>IF(H159="AFIII",VLOOKUP(D160,Sheet1!$A$4:$H$18,5,FALSE),IF(H159="UBIII",VLOOKUP(D160,Sheet1!$A$4:$H$18,8,FALSE),IF(H159="",VLOOKUP(D160,Sheet1!$A$4:$H$18,2,FALSE),"0")))</f>
        <v>1768</v>
      </c>
      <c r="W160" s="201">
        <f t="shared" si="140"/>
        <v>0</v>
      </c>
      <c r="X160" s="208">
        <f t="shared" si="159"/>
        <v>1725</v>
      </c>
      <c r="Y160" s="171" t="str">
        <f t="shared" si="141"/>
        <v>SUCCESS</v>
      </c>
      <c r="Z160" s="171" t="str">
        <f t="shared" si="142"/>
        <v>SUCCESS</v>
      </c>
      <c r="AA160" s="185">
        <f>B160/C160</f>
        <v>154.56875753920374</v>
      </c>
    </row>
    <row r="161" spans="1:27">
      <c r="A161" s="112">
        <f>ROUNDDOWN(IF(N160-G161&gt;0,(IF(H160="AFIII",VLOOKUP(D161,Sheet1!$K$4:$S$19,5,FALSE),IF(H160="UBIII",VLOOKUP(D161,Sheet1!$K$4:$S$19,8,FALSE),VLOOKUP(D161,Sheet1!$K$4:$S$19,2,FALSE)))*1.2),IF(H160="AFIII",VLOOKUP(D161,Sheet1!$K$4:$S$19,5,FALSE),IF(H160="UBIII",VLOOKUP(D161,Sheet1!$K$4:$S$19,8,FALSE),VLOOKUP(D161,Sheet1!$K$4:$S$19,2,FALSE)))),0)</f>
        <v>168</v>
      </c>
      <c r="B161" s="113">
        <f t="shared" si="139"/>
        <v>61674</v>
      </c>
      <c r="C161" s="118">
        <f t="shared" si="157"/>
        <v>400.31000000000029</v>
      </c>
      <c r="D161" s="181" t="s">
        <v>12</v>
      </c>
      <c r="E161" s="182">
        <f>IF(H160="AFIII",VLOOKUP($D161,Sheet1!$A$34:$K$48,5,FALSE),IF(H160="UBIII",VLOOKUP($D161,Sheet1!$A$34:$K$48,8,FALSE),VLOOKUP($D161,Sheet1!$A$34:$K$48,2,FALSE)))</f>
        <v>1.67</v>
      </c>
      <c r="F161" s="182">
        <f>ROUNDDOWN((IF(H160="AFIII",VLOOKUP($D161,Sheet1!$A$34:$K$48,5,FALSE),IF(H160="UBIII",VLOOKUP($D161,Sheet1!$A$34:$K$48,8,FALSE),VLOOKUP($D161,Sheet1!$A$34:$K$48,2,FALSE))))*0.85,2)</f>
        <v>1.41</v>
      </c>
      <c r="G161" s="182">
        <f t="shared" si="161"/>
        <v>2.39</v>
      </c>
      <c r="H161" s="183" t="s">
        <v>122</v>
      </c>
      <c r="I161" s="182">
        <v>10</v>
      </c>
      <c r="K161" s="182">
        <f t="shared" si="163"/>
        <v>6.3900000000000006</v>
      </c>
      <c r="L161" s="182">
        <f t="shared" si="155"/>
        <v>17.060000000000002</v>
      </c>
      <c r="O161" s="182">
        <f t="shared" si="164"/>
        <v>-0.72000000000014808</v>
      </c>
      <c r="Q161" s="182">
        <f t="shared" si="162"/>
        <v>-0.46999999999999886</v>
      </c>
      <c r="R161" s="182">
        <f t="shared" si="158"/>
        <v>22.78</v>
      </c>
      <c r="U161" s="184">
        <f t="shared" si="132"/>
        <v>-3.5700000000000505</v>
      </c>
      <c r="V161" s="201">
        <f>IF(H160="AFIII",VLOOKUP(D161,Sheet1!$A$4:$H$18,5,FALSE),IF(H160="UBIII",VLOOKUP(D161,Sheet1!$A$4:$H$18,8,FALSE),IF(H160="",VLOOKUP(D161,Sheet1!$A$4:$H$18,2,FALSE),"0")))</f>
        <v>265</v>
      </c>
      <c r="W161" s="201">
        <f t="shared" si="140"/>
        <v>0</v>
      </c>
      <c r="X161" s="208">
        <f t="shared" si="159"/>
        <v>1460</v>
      </c>
      <c r="Y161" s="171" t="str">
        <f t="shared" si="141"/>
        <v>SUCCESS</v>
      </c>
      <c r="Z161" s="171" t="str">
        <f t="shared" si="142"/>
        <v>SUCCESS</v>
      </c>
      <c r="AA161" s="185">
        <f t="shared" ref="AA161:AA171" si="165">B161/C161</f>
        <v>154.06559916065038</v>
      </c>
    </row>
    <row r="162" spans="1:27">
      <c r="A162" s="112">
        <f>ROUNDDOWN(IF(N161-G162&gt;0,(IF(H161="AFIII",VLOOKUP(D162,Sheet1!$K$4:$S$19,5,FALSE),IF(H161="UBIII",VLOOKUP(D162,Sheet1!$K$4:$S$19,8,FALSE),VLOOKUP(D162,Sheet1!$K$4:$S$19,2,FALSE)))*1.2),IF(H161="AFIII",VLOOKUP(D162,Sheet1!$K$4:$S$19,5,FALSE),IF(H161="UBIII",VLOOKUP(D162,Sheet1!$K$4:$S$19,8,FALSE),VLOOKUP(D162,Sheet1!$K$4:$S$19,2,FALSE)))),0)</f>
        <v>295</v>
      </c>
      <c r="B162" s="113">
        <f t="shared" si="139"/>
        <v>61969</v>
      </c>
      <c r="C162" s="118">
        <f t="shared" si="157"/>
        <v>403.1700000000003</v>
      </c>
      <c r="D162" s="181" t="s">
        <v>19</v>
      </c>
      <c r="E162" s="182">
        <f>IF(H161="AFIII",VLOOKUP($D162,Sheet1!$A$34:$K$48,5,FALSE),IF(H161="UBIII",VLOOKUP($D162,Sheet1!$A$34:$K$48,8,FALSE),VLOOKUP($D162,Sheet1!$A$34:$K$48,2,FALSE)))</f>
        <v>2.86</v>
      </c>
      <c r="F162" s="182">
        <f>ROUNDDOWN((IF(H161="AFIII",VLOOKUP($D162,Sheet1!$A$34:$K$48,5,FALSE),IF(H161="UBIII",VLOOKUP($D162,Sheet1!$A$34:$K$48,8,FALSE),VLOOKUP($D162,Sheet1!$A$34:$K$48,2,FALSE))))*0.85,2)</f>
        <v>2.4300000000000002</v>
      </c>
      <c r="G162" s="182">
        <f t="shared" si="161"/>
        <v>2.86</v>
      </c>
      <c r="H162" s="183" t="s">
        <v>122</v>
      </c>
      <c r="I162" s="182">
        <f>I161-G162</f>
        <v>7.1400000000000006</v>
      </c>
      <c r="K162" s="182">
        <f t="shared" si="163"/>
        <v>3.5300000000000007</v>
      </c>
      <c r="L162" s="182">
        <f t="shared" si="155"/>
        <v>14.200000000000003</v>
      </c>
      <c r="O162" s="182">
        <f t="shared" si="164"/>
        <v>-3.580000000000148</v>
      </c>
      <c r="P162" s="183" t="s">
        <v>17</v>
      </c>
      <c r="Q162" s="182">
        <v>21</v>
      </c>
      <c r="R162" s="182">
        <f t="shared" si="158"/>
        <v>19.920000000000002</v>
      </c>
      <c r="U162" s="184">
        <f t="shared" si="132"/>
        <v>-6.4300000000000503</v>
      </c>
      <c r="V162" s="201">
        <f>IF(H161="AFIII",VLOOKUP(D162,Sheet1!$A$4:$H$18,5,FALSE),IF(H161="UBIII",VLOOKUP(D162,Sheet1!$A$4:$H$18,8,FALSE),IF(H161="",VLOOKUP(D162,Sheet1!$A$4:$H$18,2,FALSE),"0")))</f>
        <v>1060</v>
      </c>
      <c r="W162" s="201">
        <f t="shared" si="140"/>
        <v>7033</v>
      </c>
      <c r="X162" s="208">
        <f t="shared" si="159"/>
        <v>7433</v>
      </c>
      <c r="Y162" s="171" t="str">
        <f t="shared" si="141"/>
        <v>SUCCESS</v>
      </c>
      <c r="Z162" s="171" t="str">
        <f t="shared" si="142"/>
        <v>SUCCESS</v>
      </c>
      <c r="AA162" s="185">
        <f t="shared" si="165"/>
        <v>153.70439268794789</v>
      </c>
    </row>
    <row r="163" spans="1:27">
      <c r="A163" s="119">
        <f>ROUNDDOWN(IF(N162-G163&gt;0,(IF(H162="AFIII",VLOOKUP(D163,Sheet1!$K$4:$S$19,5,FALSE),IF(H162="UBIII",VLOOKUP(D163,Sheet1!$K$4:$S$19,8,FALSE),VLOOKUP(D163,Sheet1!$K$4:$S$19,2,FALSE)))*1.2),IF(H162="AFIII",VLOOKUP(D163,Sheet1!$K$4:$S$19,5,FALSE),IF(H162="UBIII",VLOOKUP(D163,Sheet1!$K$4:$S$19,8,FALSE),VLOOKUP(D163,Sheet1!$K$4:$S$19,2,FALSE)))),0)</f>
        <v>280</v>
      </c>
      <c r="B163" s="120">
        <f t="shared" si="139"/>
        <v>62249</v>
      </c>
      <c r="C163" s="121">
        <f t="shared" si="157"/>
        <v>406.03000000000031</v>
      </c>
      <c r="D163" s="191" t="s">
        <v>14</v>
      </c>
      <c r="E163" s="192">
        <f>IF(H162="AFIII",VLOOKUP($D163,Sheet1!$A$34:$K$48,5,FALSE),IF(H162="UBIII",VLOOKUP($D163,Sheet1!$A$34:$K$48,8,FALSE),VLOOKUP($D163,Sheet1!$A$34:$K$48,2,FALSE)))</f>
        <v>2.86</v>
      </c>
      <c r="F163" s="192">
        <f>ROUNDDOWN((IF(H162="AFIII",VLOOKUP($D163,Sheet1!$A$34:$K$48,5,FALSE),IF(H162="UBIII",VLOOKUP($D163,Sheet1!$A$34:$K$48,8,FALSE),VLOOKUP($D163,Sheet1!$A$34:$K$48,2,FALSE))))*0.85,2)</f>
        <v>2.4300000000000002</v>
      </c>
      <c r="G163" s="192">
        <f t="shared" si="161"/>
        <v>2.86</v>
      </c>
      <c r="H163" s="193" t="s">
        <v>122</v>
      </c>
      <c r="I163" s="192">
        <f>I162-G163</f>
        <v>4.2800000000000011</v>
      </c>
      <c r="J163" s="193"/>
      <c r="K163" s="192">
        <v>20</v>
      </c>
      <c r="L163" s="192">
        <f t="shared" si="155"/>
        <v>11.340000000000003</v>
      </c>
      <c r="M163" s="193"/>
      <c r="N163" s="192"/>
      <c r="O163" s="192">
        <f t="shared" si="164"/>
        <v>-6.4400000000001478</v>
      </c>
      <c r="P163" s="193"/>
      <c r="Q163" s="192">
        <f t="shared" ref="Q163:Q170" si="166">Q162-G163</f>
        <v>18.14</v>
      </c>
      <c r="R163" s="192">
        <f t="shared" si="158"/>
        <v>17.060000000000002</v>
      </c>
      <c r="S163" s="193"/>
      <c r="T163" s="192"/>
      <c r="U163" s="194">
        <f t="shared" si="132"/>
        <v>-9.2900000000000507</v>
      </c>
      <c r="V163" s="211">
        <f>IF(H162="AFIII",VLOOKUP(D163,Sheet1!$A$4:$H$18,5,FALSE),IF(H162="UBIII",VLOOKUP(D163,Sheet1!$A$4:$H$18,8,FALSE),IF(H162="",VLOOKUP(D163,Sheet1!$A$4:$H$18,2,FALSE),"0")))</f>
        <v>884</v>
      </c>
      <c r="W163" s="211">
        <f t="shared" si="140"/>
        <v>7033</v>
      </c>
      <c r="X163" s="212">
        <f t="shared" si="159"/>
        <v>10475</v>
      </c>
      <c r="Y163" s="195" t="str">
        <f t="shared" si="141"/>
        <v>SUCCESS</v>
      </c>
      <c r="Z163" s="195" t="str">
        <f t="shared" si="142"/>
        <v>SUCCESS</v>
      </c>
      <c r="AA163" s="185">
        <f t="shared" si="165"/>
        <v>153.31133167499925</v>
      </c>
    </row>
    <row r="164" spans="1:27">
      <c r="A164" s="112">
        <f>ROUNDDOWN(IF(N163-G164&gt;0,(IF(H163="AFIII",VLOOKUP(D164,Sheet1!$K$4:$S$19,5,FALSE),IF(H163="UBIII",VLOOKUP(D164,Sheet1!$K$4:$S$19,8,FALSE),VLOOKUP(D164,Sheet1!$K$4:$S$19,2,FALSE)))*1.2),IF(H163="AFIII",VLOOKUP(D164,Sheet1!$K$4:$S$19,5,FALSE),IF(H163="UBIII",VLOOKUP(D164,Sheet1!$K$4:$S$19,8,FALSE),VLOOKUP(D164,Sheet1!$K$4:$S$19,2,FALSE)))),0)</f>
        <v>168</v>
      </c>
      <c r="B164" s="113">
        <f t="shared" si="139"/>
        <v>62417</v>
      </c>
      <c r="C164" s="118">
        <f t="shared" si="157"/>
        <v>408.4200000000003</v>
      </c>
      <c r="D164" s="181" t="s">
        <v>3</v>
      </c>
      <c r="E164" s="182">
        <f>IF(H163="AFIII",VLOOKUP($D164,Sheet1!$A$34:$K$48,5,FALSE),IF(H163="UBIII",VLOOKUP($D164,Sheet1!$A$34:$K$48,8,FALSE),VLOOKUP($D164,Sheet1!$A$34:$K$48,2,FALSE)))</f>
        <v>1.67</v>
      </c>
      <c r="F164" s="182">
        <f>ROUNDDOWN((IF(H163="AFIII",VLOOKUP($D164,Sheet1!$A$34:$K$48,5,FALSE),IF(H163="UBIII",VLOOKUP($D164,Sheet1!$A$34:$K$48,8,FALSE),VLOOKUP($D164,Sheet1!$A$34:$K$48,2,FALSE))))*0.85,2)</f>
        <v>1.41</v>
      </c>
      <c r="G164" s="182">
        <f t="shared" si="161"/>
        <v>2.39</v>
      </c>
      <c r="H164" s="183" t="s">
        <v>84</v>
      </c>
      <c r="I164" s="182">
        <v>10</v>
      </c>
      <c r="K164" s="182">
        <f>K163-G164</f>
        <v>17.61</v>
      </c>
      <c r="L164" s="182">
        <f t="shared" si="155"/>
        <v>8.9500000000000028</v>
      </c>
      <c r="O164" s="182">
        <f t="shared" si="164"/>
        <v>-8.8300000000001475</v>
      </c>
      <c r="Q164" s="182">
        <f t="shared" si="166"/>
        <v>15.75</v>
      </c>
      <c r="R164" s="182">
        <f t="shared" si="158"/>
        <v>14.670000000000002</v>
      </c>
      <c r="U164" s="184">
        <f t="shared" si="132"/>
        <v>-11.680000000000051</v>
      </c>
      <c r="V164" s="201">
        <f>IF(H163="AFIII",VLOOKUP(D164,Sheet1!$A$4:$H$18,5,FALSE),IF(H163="UBIII",VLOOKUP(D164,Sheet1!$A$4:$H$18,8,FALSE),IF(H163="",VLOOKUP(D164,Sheet1!$A$4:$H$18,2,FALSE),"0")))</f>
        <v>442</v>
      </c>
      <c r="W164" s="201">
        <f t="shared" si="140"/>
        <v>7033</v>
      </c>
      <c r="X164" s="208">
        <f t="shared" si="159"/>
        <v>10917</v>
      </c>
      <c r="Y164" s="171" t="str">
        <f t="shared" si="141"/>
        <v>SUCCESS</v>
      </c>
      <c r="Z164" s="171" t="str">
        <f t="shared" si="142"/>
        <v>SUCCESS</v>
      </c>
      <c r="AA164" s="185">
        <f t="shared" si="165"/>
        <v>152.82552274619252</v>
      </c>
    </row>
    <row r="165" spans="1:27">
      <c r="A165" s="112">
        <f>ROUNDDOWN(IF(N164-G165&gt;0,(IF(H164="AFIII",VLOOKUP(D165,Sheet1!$K$4:$S$19,5,FALSE),IF(H164="UBIII",VLOOKUP(D165,Sheet1!$K$4:$S$19,8,FALSE),VLOOKUP(D165,Sheet1!$K$4:$S$19,2,FALSE)))*1.2),IF(H164="AFIII",VLOOKUP(D165,Sheet1!$K$4:$S$19,5,FALSE),IF(H164="UBIII",VLOOKUP(D165,Sheet1!$K$4:$S$19,8,FALSE),VLOOKUP(D165,Sheet1!$K$4:$S$19,2,FALSE)))),0)</f>
        <v>504</v>
      </c>
      <c r="B165" s="113">
        <f t="shared" si="139"/>
        <v>62921</v>
      </c>
      <c r="C165" s="118">
        <f t="shared" si="157"/>
        <v>411.28000000000031</v>
      </c>
      <c r="D165" s="181" t="s">
        <v>5</v>
      </c>
      <c r="E165" s="182">
        <f>IF(H164="AFIII",VLOOKUP($D165,Sheet1!$A$34:$K$48,5,FALSE),IF(H164="UBIII",VLOOKUP($D165,Sheet1!$A$34:$K$48,8,FALSE),VLOOKUP($D165,Sheet1!$A$34:$K$48,2,FALSE)))</f>
        <v>2.86</v>
      </c>
      <c r="F165" s="182">
        <f>ROUNDDOWN((IF(H164="AFIII",VLOOKUP($D165,Sheet1!$A$34:$K$48,5,FALSE),IF(H164="UBIII",VLOOKUP($D165,Sheet1!$A$34:$K$48,8,FALSE),VLOOKUP($D165,Sheet1!$A$34:$K$48,2,FALSE))))*0.85,2)</f>
        <v>2.4300000000000002</v>
      </c>
      <c r="G165" s="182">
        <f t="shared" si="161"/>
        <v>2.86</v>
      </c>
      <c r="H165" s="183" t="s">
        <v>84</v>
      </c>
      <c r="I165" s="182">
        <f>I164-G165</f>
        <v>7.1400000000000006</v>
      </c>
      <c r="K165" s="182">
        <f t="shared" ref="K165:K171" si="167">K164-G165</f>
        <v>14.75</v>
      </c>
      <c r="L165" s="182">
        <f t="shared" si="155"/>
        <v>6.0900000000000034</v>
      </c>
      <c r="O165" s="182">
        <f t="shared" si="164"/>
        <v>-11.690000000000147</v>
      </c>
      <c r="Q165" s="182">
        <f t="shared" si="166"/>
        <v>12.89</v>
      </c>
      <c r="R165" s="182">
        <f t="shared" si="158"/>
        <v>11.810000000000002</v>
      </c>
      <c r="U165" s="184">
        <f t="shared" si="132"/>
        <v>-14.540000000000051</v>
      </c>
      <c r="V165" s="201">
        <f>IF(H164="AFIII",VLOOKUP(D165,Sheet1!$A$4:$H$18,5,FALSE),IF(H164="UBIII",VLOOKUP(D165,Sheet1!$A$4:$H$18,8,FALSE),IF(H164="",VLOOKUP(D165,Sheet1!$A$4:$H$18,2,FALSE),"0")))</f>
        <v>1768</v>
      </c>
      <c r="W165" s="201">
        <f t="shared" si="140"/>
        <v>0</v>
      </c>
      <c r="X165" s="208">
        <f t="shared" si="159"/>
        <v>9149</v>
      </c>
      <c r="Y165" s="171" t="str">
        <f t="shared" si="141"/>
        <v>SUCCESS</v>
      </c>
      <c r="Z165" s="171" t="str">
        <f t="shared" si="142"/>
        <v>SUCCESS</v>
      </c>
      <c r="AA165" s="185">
        <f t="shared" si="165"/>
        <v>152.98823186150543</v>
      </c>
    </row>
    <row r="166" spans="1:27">
      <c r="A166" s="112">
        <f>ROUNDDOWN(IF(N165-G166&gt;0,(IF(H165="AFIII",VLOOKUP(D166,Sheet1!$K$4:$S$19,5,FALSE),IF(H165="UBIII",VLOOKUP(D166,Sheet1!$K$4:$S$19,8,FALSE),VLOOKUP(D166,Sheet1!$K$4:$S$19,2,FALSE)))*1.2),IF(H165="AFIII",VLOOKUP(D166,Sheet1!$K$4:$S$19,5,FALSE),IF(H165="UBIII",VLOOKUP(D166,Sheet1!$K$4:$S$19,8,FALSE),VLOOKUP(D166,Sheet1!$K$4:$S$19,2,FALSE)))),0)</f>
        <v>504</v>
      </c>
      <c r="B166" s="113">
        <f t="shared" si="139"/>
        <v>63425</v>
      </c>
      <c r="C166" s="118">
        <f t="shared" si="157"/>
        <v>414.14000000000033</v>
      </c>
      <c r="D166" s="181" t="s">
        <v>5</v>
      </c>
      <c r="E166" s="182">
        <f>IF(H165="AFIII",VLOOKUP($D166,Sheet1!$A$34:$K$48,5,FALSE),IF(H165="UBIII",VLOOKUP($D166,Sheet1!$A$34:$K$48,8,FALSE),VLOOKUP($D166,Sheet1!$A$34:$K$48,2,FALSE)))</f>
        <v>2.86</v>
      </c>
      <c r="F166" s="182">
        <f>ROUNDDOWN((IF(H165="AFIII",VLOOKUP($D166,Sheet1!$A$34:$K$48,5,FALSE),IF(H165="UBIII",VLOOKUP($D166,Sheet1!$A$34:$K$48,8,FALSE),VLOOKUP($D166,Sheet1!$A$34:$K$48,2,FALSE))))*0.85,2)</f>
        <v>2.4300000000000002</v>
      </c>
      <c r="G166" s="182">
        <f t="shared" si="161"/>
        <v>2.86</v>
      </c>
      <c r="H166" s="183" t="s">
        <v>84</v>
      </c>
      <c r="I166" s="182">
        <f t="shared" ref="I166" si="168">I165-G166</f>
        <v>4.2800000000000011</v>
      </c>
      <c r="K166" s="182">
        <f t="shared" si="167"/>
        <v>11.89</v>
      </c>
      <c r="L166" s="182">
        <f t="shared" si="155"/>
        <v>3.2300000000000035</v>
      </c>
      <c r="O166" s="182">
        <f t="shared" si="164"/>
        <v>-14.550000000000146</v>
      </c>
      <c r="Q166" s="182">
        <f t="shared" si="166"/>
        <v>10.030000000000001</v>
      </c>
      <c r="R166" s="182">
        <f t="shared" si="158"/>
        <v>8.9500000000000028</v>
      </c>
      <c r="U166" s="184">
        <f t="shared" si="132"/>
        <v>-17.400000000000052</v>
      </c>
      <c r="V166" s="201">
        <f>IF(H165="AFIII",VLOOKUP(D166,Sheet1!$A$4:$H$18,5,FALSE),IF(H165="UBIII",VLOOKUP(D166,Sheet1!$A$4:$H$18,8,FALSE),IF(H165="",VLOOKUP(D166,Sheet1!$A$4:$H$18,2,FALSE),"0")))</f>
        <v>1768</v>
      </c>
      <c r="W166" s="201">
        <f t="shared" si="140"/>
        <v>0</v>
      </c>
      <c r="X166" s="208">
        <f t="shared" si="159"/>
        <v>7381</v>
      </c>
      <c r="Y166" s="171" t="str">
        <f t="shared" si="141"/>
        <v>SUCCESS</v>
      </c>
      <c r="Z166" s="171" t="str">
        <f t="shared" si="142"/>
        <v>SUCCESS</v>
      </c>
      <c r="AA166" s="185">
        <f t="shared" si="165"/>
        <v>153.14869367846609</v>
      </c>
    </row>
    <row r="167" spans="1:27">
      <c r="A167" s="112">
        <f>ROUNDDOWN(IF(N166-G167&gt;0,(IF(H166="AFIII",VLOOKUP(D167,Sheet1!$K$4:$S$19,5,FALSE),IF(H166="UBIII",VLOOKUP(D167,Sheet1!$K$4:$S$19,8,FALSE),VLOOKUP(D167,Sheet1!$K$4:$S$19,2,FALSE)))*1.2),IF(H166="AFIII",VLOOKUP(D167,Sheet1!$K$4:$S$19,5,FALSE),IF(H166="UBIII",VLOOKUP(D167,Sheet1!$K$4:$S$19,8,FALSE),VLOOKUP(D167,Sheet1!$K$4:$S$19,2,FALSE)))),0)</f>
        <v>324</v>
      </c>
      <c r="B167" s="113">
        <f t="shared" si="139"/>
        <v>63749</v>
      </c>
      <c r="C167" s="118">
        <f t="shared" si="157"/>
        <v>416.53000000000031</v>
      </c>
      <c r="D167" s="181" t="s">
        <v>1</v>
      </c>
      <c r="E167" s="182">
        <f>IF(H166="AFIII",VLOOKUP($D167,Sheet1!$A$34:$K$48,5,FALSE),IF(H166="UBIII",VLOOKUP($D167,Sheet1!$A$34:$K$48,8,FALSE),VLOOKUP($D167,Sheet1!$A$34:$K$48,2,FALSE)))</f>
        <v>2.39</v>
      </c>
      <c r="F167" s="182">
        <f>ROUNDDOWN((IF(H166="AFIII",VLOOKUP($D167,Sheet1!$A$34:$K$48,5,FALSE),IF(H166="UBIII",VLOOKUP($D167,Sheet1!$A$34:$K$48,8,FALSE),VLOOKUP($D167,Sheet1!$A$34:$K$48,2,FALSE))))*0.85,2)</f>
        <v>2.0299999999999998</v>
      </c>
      <c r="G167" s="182">
        <f t="shared" si="161"/>
        <v>2.39</v>
      </c>
      <c r="H167" s="183" t="s">
        <v>84</v>
      </c>
      <c r="I167" s="182">
        <v>10</v>
      </c>
      <c r="K167" s="182">
        <f t="shared" si="167"/>
        <v>9.5</v>
      </c>
      <c r="L167" s="182">
        <f t="shared" si="155"/>
        <v>0.84000000000000341</v>
      </c>
      <c r="O167" s="182">
        <f t="shared" si="164"/>
        <v>-16.940000000000147</v>
      </c>
      <c r="Q167" s="182">
        <f t="shared" si="166"/>
        <v>7.6400000000000006</v>
      </c>
      <c r="R167" s="182">
        <f>R166-G167</f>
        <v>6.5600000000000023</v>
      </c>
      <c r="U167" s="184">
        <f t="shared" si="132"/>
        <v>-19.790000000000052</v>
      </c>
      <c r="V167" s="201">
        <f>IF(H166="AFIII",VLOOKUP(D167,Sheet1!$A$4:$H$18,5,FALSE),IF(H166="UBIII",VLOOKUP(D167,Sheet1!$A$4:$H$18,8,FALSE),IF(H166="",VLOOKUP(D167,Sheet1!$A$4:$H$18,2,FALSE),"0")))</f>
        <v>2120</v>
      </c>
      <c r="W167" s="201">
        <f t="shared" si="140"/>
        <v>0</v>
      </c>
      <c r="X167" s="208">
        <f t="shared" si="159"/>
        <v>5261</v>
      </c>
      <c r="Y167" s="171" t="str">
        <f t="shared" si="141"/>
        <v>SUCCESS</v>
      </c>
      <c r="Z167" s="171" t="str">
        <f t="shared" si="142"/>
        <v>SUCCESS</v>
      </c>
      <c r="AA167" s="185">
        <f t="shared" si="165"/>
        <v>153.04779967829435</v>
      </c>
    </row>
    <row r="168" spans="1:27">
      <c r="A168" s="112">
        <f>ROUNDDOWN(IF(N167-G168&gt;0,(IF(H167="AFIII",VLOOKUP(D168,Sheet1!$K$4:$S$19,5,FALSE),IF(H167="UBIII",VLOOKUP(D168,Sheet1!$K$4:$S$19,8,FALSE),VLOOKUP(D168,Sheet1!$K$4:$S$19,2,FALSE)))*1.2),IF(H167="AFIII",VLOOKUP(D168,Sheet1!$K$4:$S$19,5,FALSE),IF(H167="UBIII",VLOOKUP(D168,Sheet1!$K$4:$S$19,8,FALSE),VLOOKUP(D168,Sheet1!$K$4:$S$19,2,FALSE)))),0)</f>
        <v>504</v>
      </c>
      <c r="B168" s="113">
        <f t="shared" si="139"/>
        <v>64253</v>
      </c>
      <c r="C168" s="118">
        <f t="shared" si="157"/>
        <v>419.39000000000033</v>
      </c>
      <c r="D168" s="181" t="s">
        <v>6</v>
      </c>
      <c r="E168" s="182">
        <f>IF(H167="AFIII",VLOOKUP($D168,Sheet1!$A$34:$K$48,5,FALSE),IF(H167="UBIII",VLOOKUP($D168,Sheet1!$A$34:$K$48,8,FALSE),VLOOKUP($D168,Sheet1!$A$34:$K$48,2,FALSE)))</f>
        <v>2.86</v>
      </c>
      <c r="F168" s="182">
        <f>ROUNDDOWN((IF(H167="AFIII",VLOOKUP($D168,Sheet1!$A$34:$K$48,5,FALSE),IF(H167="UBIII",VLOOKUP($D168,Sheet1!$A$34:$K$48,8,FALSE),VLOOKUP($D168,Sheet1!$A$34:$K$48,2,FALSE))))*0.85,2)</f>
        <v>2.4300000000000002</v>
      </c>
      <c r="G168" s="182">
        <f t="shared" si="161"/>
        <v>2.86</v>
      </c>
      <c r="H168" s="183" t="s">
        <v>84</v>
      </c>
      <c r="I168" s="182">
        <f>I167-G168</f>
        <v>7.1400000000000006</v>
      </c>
      <c r="K168" s="182">
        <f t="shared" si="167"/>
        <v>6.6400000000000006</v>
      </c>
      <c r="L168" s="182">
        <f t="shared" si="155"/>
        <v>-2.0199999999999965</v>
      </c>
      <c r="O168" s="182">
        <f t="shared" si="164"/>
        <v>-19.800000000000146</v>
      </c>
      <c r="Q168" s="182">
        <f t="shared" si="166"/>
        <v>4.7800000000000011</v>
      </c>
      <c r="R168" s="182">
        <f t="shared" ref="R168:R169" si="169">R167-G168</f>
        <v>3.7000000000000024</v>
      </c>
      <c r="U168" s="184">
        <f t="shared" si="132"/>
        <v>-22.650000000000052</v>
      </c>
      <c r="V168" s="201">
        <f>IF(H167="AFIII",VLOOKUP(D168,Sheet1!$A$4:$H$18,5,FALSE),IF(H167="UBIII",VLOOKUP(D168,Sheet1!$A$4:$H$18,8,FALSE),IF(H167="",VLOOKUP(D168,Sheet1!$A$4:$H$18,2,FALSE),"0")))</f>
        <v>1768</v>
      </c>
      <c r="W168" s="201">
        <f t="shared" si="140"/>
        <v>0</v>
      </c>
      <c r="X168" s="208">
        <f t="shared" si="159"/>
        <v>3493</v>
      </c>
      <c r="Y168" s="171" t="str">
        <f t="shared" si="141"/>
        <v>SUCCESS</v>
      </c>
      <c r="Z168" s="171" t="str">
        <f t="shared" si="142"/>
        <v>SUCCESS</v>
      </c>
      <c r="AA168" s="185">
        <f t="shared" si="165"/>
        <v>153.20584658670916</v>
      </c>
    </row>
    <row r="169" spans="1:27">
      <c r="A169" s="112">
        <f>ROUNDDOWN(IF(N168-G169&gt;0,(IF(H168="AFIII",VLOOKUP(D169,Sheet1!$K$4:$S$19,5,FALSE),IF(H168="UBIII",VLOOKUP(D169,Sheet1!$K$4:$S$19,8,FALSE),VLOOKUP(D169,Sheet1!$K$4:$S$19,2,FALSE)))*1.2),IF(H168="AFIII",VLOOKUP(D169,Sheet1!$K$4:$S$19,5,FALSE),IF(H168="UBIII",VLOOKUP(D169,Sheet1!$K$4:$S$19,8,FALSE),VLOOKUP(D169,Sheet1!$K$4:$S$19,2,FALSE)))),0)</f>
        <v>504</v>
      </c>
      <c r="B169" s="113">
        <f t="shared" si="139"/>
        <v>64757</v>
      </c>
      <c r="C169" s="118">
        <f t="shared" si="157"/>
        <v>422.25000000000034</v>
      </c>
      <c r="D169" s="181" t="s">
        <v>6</v>
      </c>
      <c r="E169" s="182">
        <f>IF(H168="AFIII",VLOOKUP($D169,Sheet1!$A$34:$K$48,5,FALSE),IF(H168="UBIII",VLOOKUP($D169,Sheet1!$A$34:$K$48,8,FALSE),VLOOKUP($D169,Sheet1!$A$34:$K$48,2,FALSE)))</f>
        <v>2.86</v>
      </c>
      <c r="F169" s="182">
        <f>ROUNDDOWN((IF(H168="AFIII",VLOOKUP($D169,Sheet1!$A$34:$K$48,5,FALSE),IF(H168="UBIII",VLOOKUP($D169,Sheet1!$A$34:$K$48,8,FALSE),VLOOKUP($D169,Sheet1!$A$34:$K$48,2,FALSE))))*0.85,2)</f>
        <v>2.4300000000000002</v>
      </c>
      <c r="G169" s="182">
        <f t="shared" si="161"/>
        <v>2.86</v>
      </c>
      <c r="H169" s="183" t="s">
        <v>84</v>
      </c>
      <c r="I169" s="182">
        <f>I168-G169</f>
        <v>4.2800000000000011</v>
      </c>
      <c r="K169" s="182">
        <f t="shared" si="167"/>
        <v>3.7800000000000007</v>
      </c>
      <c r="L169" s="182">
        <f t="shared" si="155"/>
        <v>-4.8799999999999963</v>
      </c>
      <c r="O169" s="182">
        <f t="shared" si="164"/>
        <v>-22.660000000000146</v>
      </c>
      <c r="Q169" s="182">
        <f t="shared" si="166"/>
        <v>1.9200000000000013</v>
      </c>
      <c r="R169" s="182">
        <f t="shared" si="169"/>
        <v>0.84000000000000252</v>
      </c>
      <c r="U169" s="184">
        <f t="shared" si="132"/>
        <v>-25.510000000000051</v>
      </c>
      <c r="V169" s="201">
        <f>IF(H168="AFIII",VLOOKUP(D169,Sheet1!$A$4:$H$18,5,FALSE),IF(H168="UBIII",VLOOKUP(D169,Sheet1!$A$4:$H$18,8,FALSE),IF(H168="",VLOOKUP(D169,Sheet1!$A$4:$H$18,2,FALSE),"0")))</f>
        <v>1768</v>
      </c>
      <c r="W169" s="201">
        <f t="shared" si="140"/>
        <v>0</v>
      </c>
      <c r="X169" s="208">
        <f t="shared" si="159"/>
        <v>1725</v>
      </c>
      <c r="Y169" s="171" t="str">
        <f t="shared" si="141"/>
        <v>SUCCESS</v>
      </c>
      <c r="Z169" s="171" t="str">
        <f t="shared" si="142"/>
        <v>SUCCESS</v>
      </c>
      <c r="AA169" s="185">
        <f t="shared" si="165"/>
        <v>153.36175251628171</v>
      </c>
    </row>
    <row r="170" spans="1:27">
      <c r="A170" s="112">
        <f>ROUNDDOWN(IF(N169-G170&gt;0,(IF(H169="AFIII",VLOOKUP(D170,Sheet1!$K$4:$S$19,5,FALSE),IF(H169="UBIII",VLOOKUP(D170,Sheet1!$K$4:$S$19,8,FALSE),VLOOKUP(D170,Sheet1!$K$4:$S$19,2,FALSE)))*1.2),IF(H169="AFIII",VLOOKUP(D170,Sheet1!$K$4:$S$19,5,FALSE),IF(H169="UBIII",VLOOKUP(D170,Sheet1!$K$4:$S$19,8,FALSE),VLOOKUP(D170,Sheet1!$K$4:$S$19,2,FALSE)))),0)</f>
        <v>168</v>
      </c>
      <c r="B170" s="113">
        <f t="shared" si="139"/>
        <v>64925</v>
      </c>
      <c r="C170" s="118">
        <f t="shared" si="157"/>
        <v>424.64000000000033</v>
      </c>
      <c r="D170" s="181" t="s">
        <v>12</v>
      </c>
      <c r="E170" s="182">
        <f>IF(H169="AFIII",VLOOKUP($D170,Sheet1!$A$34:$K$48,5,FALSE),IF(H169="UBIII",VLOOKUP($D170,Sheet1!$A$34:$K$48,8,FALSE),VLOOKUP($D170,Sheet1!$A$34:$K$48,2,FALSE)))</f>
        <v>1.67</v>
      </c>
      <c r="F170" s="182">
        <f>ROUNDDOWN((IF(H169="AFIII",VLOOKUP($D170,Sheet1!$A$34:$K$48,5,FALSE),IF(H169="UBIII",VLOOKUP($D170,Sheet1!$A$34:$K$48,8,FALSE),VLOOKUP($D170,Sheet1!$A$34:$K$48,2,FALSE))))*0.85,2)</f>
        <v>1.41</v>
      </c>
      <c r="G170" s="182">
        <f t="shared" si="161"/>
        <v>2.39</v>
      </c>
      <c r="H170" s="183" t="s">
        <v>122</v>
      </c>
      <c r="I170" s="182">
        <v>10</v>
      </c>
      <c r="K170" s="182">
        <f t="shared" si="167"/>
        <v>1.3900000000000006</v>
      </c>
      <c r="L170" s="182">
        <f t="shared" si="155"/>
        <v>-7.269999999999996</v>
      </c>
      <c r="O170" s="182">
        <f t="shared" si="164"/>
        <v>-25.050000000000146</v>
      </c>
      <c r="Q170" s="182">
        <f t="shared" si="166"/>
        <v>-0.46999999999999886</v>
      </c>
      <c r="S170" s="183" t="s">
        <v>87</v>
      </c>
      <c r="T170" s="182">
        <v>30</v>
      </c>
      <c r="U170" s="184">
        <v>90</v>
      </c>
      <c r="V170" s="201">
        <f>IF(H169="AFIII",VLOOKUP(D170,Sheet1!$A$4:$H$18,5,FALSE),IF(H169="UBIII",VLOOKUP(D170,Sheet1!$A$4:$H$18,8,FALSE),IF(H169="",VLOOKUP(D170,Sheet1!$A$4:$H$18,2,FALSE),"0")))</f>
        <v>265</v>
      </c>
      <c r="W170" s="201">
        <f t="shared" si="140"/>
        <v>0</v>
      </c>
      <c r="X170" s="208">
        <f t="shared" si="159"/>
        <v>1460</v>
      </c>
      <c r="Y170" s="171" t="str">
        <f t="shared" si="141"/>
        <v>SUCCESS</v>
      </c>
      <c r="Z170" s="171" t="str">
        <f t="shared" si="142"/>
        <v>SUCCESS</v>
      </c>
      <c r="AA170" s="185">
        <f t="shared" si="165"/>
        <v>152.89421627731713</v>
      </c>
    </row>
    <row r="171" spans="1:27" ht="12.75" thickBot="1">
      <c r="A171" s="116">
        <f>ROUNDDOWN(IF(N170-G171&gt;0,(IF(H170="AFIII",VLOOKUP(D171,Sheet1!$K$4:$S$19,5,FALSE),IF(H170="UBIII",VLOOKUP(D171,Sheet1!$K$4:$S$19,8,FALSE),VLOOKUP(D171,Sheet1!$K$4:$S$19,2,FALSE)))*1.2),IF(H170="AFIII",VLOOKUP(D171,Sheet1!$K$4:$S$19,5,FALSE),IF(H170="UBIII",VLOOKUP(D171,Sheet1!$K$4:$S$19,8,FALSE),VLOOKUP(D171,Sheet1!$K$4:$S$19,2,FALSE)))),0)</f>
        <v>295</v>
      </c>
      <c r="B171" s="117">
        <f t="shared" si="139"/>
        <v>65220</v>
      </c>
      <c r="C171" s="125">
        <f t="shared" si="157"/>
        <v>427.07000000000033</v>
      </c>
      <c r="D171" s="196" t="s">
        <v>249</v>
      </c>
      <c r="E171" s="197">
        <f>IF(H170="AFIII",VLOOKUP($D171,Sheet1!$A$34:$K$48,5,FALSE),IF(H170="UBIII",VLOOKUP($D171,Sheet1!$A$34:$K$48,8,FALSE),VLOOKUP($D171,Sheet1!$A$34:$K$48,2,FALSE)))</f>
        <v>2.86</v>
      </c>
      <c r="F171" s="197">
        <f>ROUNDDOWN((IF(H170="AFIII",VLOOKUP($D171,Sheet1!$A$34:$K$48,5,FALSE),IF(H170="UBIII",VLOOKUP($D171,Sheet1!$A$34:$K$48,8,FALSE),VLOOKUP($D171,Sheet1!$A$34:$K$48,2,FALSE))))*0.85,2)</f>
        <v>2.4300000000000002</v>
      </c>
      <c r="G171" s="197">
        <f t="shared" si="161"/>
        <v>2.4300000000000002</v>
      </c>
      <c r="H171" s="198" t="s">
        <v>122</v>
      </c>
      <c r="I171" s="197">
        <f>I170-G171</f>
        <v>7.57</v>
      </c>
      <c r="J171" s="198"/>
      <c r="K171" s="197">
        <f t="shared" si="167"/>
        <v>-1.0399999999999996</v>
      </c>
      <c r="L171" s="197">
        <f t="shared" si="155"/>
        <v>-9.6999999999999957</v>
      </c>
      <c r="M171" s="198"/>
      <c r="N171" s="197"/>
      <c r="O171" s="197">
        <f t="shared" si="164"/>
        <v>-27.480000000000146</v>
      </c>
      <c r="P171" s="198"/>
      <c r="Q171" s="197"/>
      <c r="R171" s="197"/>
      <c r="S171" s="198" t="s">
        <v>87</v>
      </c>
      <c r="T171" s="197">
        <f>T170-G171</f>
        <v>27.57</v>
      </c>
      <c r="U171" s="199">
        <f>U170-G171</f>
        <v>87.57</v>
      </c>
      <c r="V171" s="206">
        <f>IF(H170="AFIII",VLOOKUP(D171,Sheet1!$A$4:$H$18,5,FALSE),IF(H170="UBIII",VLOOKUP(D171,Sheet1!$A$4:$H$18,8,FALSE),IF(H170="",VLOOKUP(D171,Sheet1!$A$4:$H$18,2,FALSE),"0")))</f>
        <v>1060</v>
      </c>
      <c r="W171" s="206">
        <f t="shared" si="140"/>
        <v>7033</v>
      </c>
      <c r="X171" s="207">
        <f t="shared" si="159"/>
        <v>7433</v>
      </c>
      <c r="Y171" s="180" t="str">
        <f t="shared" si="141"/>
        <v>SUCCESS</v>
      </c>
      <c r="Z171" s="180" t="str">
        <f t="shared" si="142"/>
        <v>ERROR</v>
      </c>
      <c r="AA171" s="185">
        <f t="shared" si="165"/>
        <v>152.71501159060563</v>
      </c>
    </row>
    <row r="172" spans="1:27" ht="12.75" thickTop="1">
      <c r="D172" s="58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X172" s="216"/>
    </row>
    <row r="173" spans="1:27">
      <c r="D173" s="58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X173" s="216"/>
    </row>
    <row r="174" spans="1:27">
      <c r="D174" s="58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X174" s="216"/>
    </row>
    <row r="175" spans="1:27">
      <c r="D175" s="58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X175" s="216"/>
    </row>
    <row r="176" spans="1:27">
      <c r="D176" s="58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X176" s="216"/>
    </row>
    <row r="177" spans="4:24">
      <c r="D177" s="58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X177" s="216"/>
    </row>
    <row r="178" spans="4:24">
      <c r="D178" s="58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X178" s="216"/>
    </row>
    <row r="179" spans="4:24">
      <c r="D179" s="58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X179" s="216"/>
    </row>
    <row r="180" spans="4:24">
      <c r="D180" s="58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X180" s="216"/>
    </row>
    <row r="181" spans="4:24">
      <c r="D181" s="58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X181" s="216"/>
    </row>
    <row r="182" spans="4:24">
      <c r="D182" s="58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X182" s="216"/>
    </row>
    <row r="183" spans="4:24">
      <c r="D183" s="58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X183" s="216"/>
    </row>
    <row r="184" spans="4:24">
      <c r="D184" s="58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X184" s="216"/>
    </row>
    <row r="185" spans="4:24">
      <c r="D185" s="58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X185" s="216"/>
    </row>
    <row r="186" spans="4:24">
      <c r="D186" s="58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X186" s="216"/>
    </row>
    <row r="187" spans="4:24">
      <c r="D187" s="58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X187" s="216"/>
    </row>
    <row r="188" spans="4:24">
      <c r="D188" s="58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X188" s="216"/>
    </row>
    <row r="189" spans="4:24">
      <c r="D189" s="58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X189" s="216"/>
    </row>
    <row r="190" spans="4:24">
      <c r="D190" s="58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X190" s="216"/>
    </row>
    <row r="191" spans="4:24">
      <c r="D191" s="58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X191" s="216"/>
    </row>
    <row r="192" spans="4:24">
      <c r="D192" s="58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X192" s="216"/>
    </row>
    <row r="193" spans="4:24">
      <c r="D193" s="58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X193" s="216"/>
    </row>
    <row r="194" spans="4:24">
      <c r="D194" s="58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X194" s="216"/>
    </row>
    <row r="195" spans="4:24">
      <c r="D195" s="58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X195" s="216"/>
    </row>
    <row r="196" spans="4:24">
      <c r="D196" s="58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X196" s="216"/>
    </row>
    <row r="197" spans="4:24">
      <c r="D197" s="58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X197" s="216"/>
    </row>
    <row r="198" spans="4:24">
      <c r="D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X198" s="216"/>
    </row>
    <row r="199" spans="4:24">
      <c r="D199" s="5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X199" s="216"/>
    </row>
    <row r="200" spans="4:24">
      <c r="D200" s="5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X200" s="216"/>
    </row>
    <row r="201" spans="4:24">
      <c r="D201" s="5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X201" s="216"/>
    </row>
    <row r="202" spans="4:24">
      <c r="D202" s="58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X202" s="216"/>
    </row>
    <row r="203" spans="4:24">
      <c r="D203" s="58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X203" s="216"/>
    </row>
    <row r="204" spans="4:24">
      <c r="D204" s="58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X204" s="216"/>
    </row>
    <row r="205" spans="4:24">
      <c r="D205" s="58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X205" s="216"/>
    </row>
    <row r="206" spans="4:24">
      <c r="D206" s="58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X206" s="216"/>
    </row>
    <row r="207" spans="4:24">
      <c r="D207" s="58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X207" s="216"/>
    </row>
    <row r="208" spans="4:24">
      <c r="D208" s="58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X208" s="216"/>
    </row>
    <row r="209" spans="4:24">
      <c r="D209" s="58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X209" s="216"/>
    </row>
    <row r="210" spans="4:24">
      <c r="D210" s="58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X210" s="216"/>
    </row>
    <row r="211" spans="4:24">
      <c r="D211" s="58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X211" s="216"/>
    </row>
    <row r="212" spans="4:24">
      <c r="D212" s="58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X212" s="216"/>
    </row>
    <row r="213" spans="4:24">
      <c r="D213" s="58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X213" s="216"/>
    </row>
    <row r="214" spans="4:24">
      <c r="D214" s="58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X214" s="216"/>
    </row>
    <row r="215" spans="4:24">
      <c r="D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X215" s="216"/>
    </row>
    <row r="216" spans="4:24">
      <c r="D216" s="58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X216" s="216"/>
    </row>
    <row r="217" spans="4:24">
      <c r="D217" s="58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X217" s="216"/>
    </row>
    <row r="218" spans="4:24">
      <c r="D218" s="58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X218" s="216"/>
    </row>
    <row r="219" spans="4:24">
      <c r="D219" s="58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X219" s="216"/>
    </row>
    <row r="220" spans="4:24">
      <c r="D220" s="58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X220" s="216"/>
    </row>
    <row r="221" spans="4:24">
      <c r="D221" s="58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X221" s="216"/>
    </row>
    <row r="222" spans="4:24">
      <c r="D222" s="58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X222" s="216"/>
    </row>
    <row r="223" spans="4:24">
      <c r="D223" s="58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X223" s="216"/>
    </row>
    <row r="224" spans="4:24">
      <c r="D224" s="58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X224" s="216"/>
    </row>
    <row r="225" spans="4:24">
      <c r="D225" s="58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X225" s="216"/>
    </row>
    <row r="226" spans="4:24">
      <c r="D226" s="58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X226" s="216"/>
    </row>
    <row r="227" spans="4:24">
      <c r="D227" s="58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X227" s="216"/>
    </row>
    <row r="228" spans="4:24">
      <c r="D228" s="58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X228" s="216"/>
    </row>
    <row r="229" spans="4:24">
      <c r="D229" s="58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X229" s="216"/>
    </row>
    <row r="230" spans="4:24">
      <c r="D230" s="58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X230" s="216"/>
    </row>
    <row r="231" spans="4:24">
      <c r="D231" s="58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X231" s="216"/>
    </row>
    <row r="232" spans="4:24">
      <c r="D232" s="58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X232" s="216"/>
    </row>
    <row r="233" spans="4:24">
      <c r="D233" s="58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X233" s="216"/>
    </row>
    <row r="234" spans="4:24">
      <c r="D234" s="58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X234" s="216"/>
    </row>
    <row r="235" spans="4:24">
      <c r="D235" s="58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X235" s="216"/>
    </row>
    <row r="236" spans="4:24">
      <c r="D236" s="58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X236" s="216"/>
    </row>
    <row r="237" spans="4:24">
      <c r="D237" s="58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X237" s="216"/>
    </row>
    <row r="238" spans="4:24">
      <c r="D238" s="58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X238" s="216"/>
    </row>
    <row r="239" spans="4:24">
      <c r="D239" s="58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X239" s="216"/>
    </row>
  </sheetData>
  <mergeCells count="6">
    <mergeCell ref="K1:L1"/>
    <mergeCell ref="N1:O1"/>
    <mergeCell ref="Q1:R1"/>
    <mergeCell ref="D2:G2"/>
    <mergeCell ref="H2:U2"/>
    <mergeCell ref="V2:W2"/>
  </mergeCells>
  <phoneticPr fontId="1"/>
  <conditionalFormatting sqref="P1 H1:J26 K2:P26 S1:W97 Q2:R97 X3:X165 D98:W1048576 D1:G97 D5:X171">
    <cfRule type="expression" dxfId="11" priority="1">
      <formula>MOD(ROW(),2)=0</formula>
    </cfRule>
  </conditionalFormatting>
  <pageMargins left="0.51181102362204722" right="0.51181102362204722" top="0.74803149606299213" bottom="0.74803149606299213" header="0.31496062992125984" footer="0.31496062992125984"/>
  <pageSetup paperSiz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使い方</vt:lpstr>
      <vt:lpstr>Sheet1</vt:lpstr>
      <vt:lpstr>案1(廃案)</vt:lpstr>
      <vt:lpstr>案2(廃案)</vt:lpstr>
      <vt:lpstr>案3(3の最低値)</vt:lpstr>
      <vt:lpstr>案4(3の理想型)</vt:lpstr>
      <vt:lpstr>案5(威力値変更対応版)</vt:lpstr>
      <vt:lpstr>廃案6(別アプローチ)</vt:lpstr>
      <vt:lpstr>案7(Patch3.0正式対応)</vt:lpstr>
      <vt:lpstr>案8(7のサンダラ抜き)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BLM_Calculator</dc:title>
  <dc:subject>Patch3.0</dc:subject>
  <dc:creator>Krull's Lab.</dc:creator>
  <cp:lastModifiedBy>MN-P07</cp:lastModifiedBy>
  <cp:lastPrinted>2015-06-23T09:47:26Z</cp:lastPrinted>
  <dcterms:created xsi:type="dcterms:W3CDTF">2015-05-22T14:31:57Z</dcterms:created>
  <dcterms:modified xsi:type="dcterms:W3CDTF">2015-06-23T09:47:33Z</dcterms:modified>
</cp:coreProperties>
</file>